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tas2\Desktop\Sprendimo projektai Tarybai\"/>
    </mc:Choice>
  </mc:AlternateContent>
  <xr:revisionPtr revIDLastSave="0" documentId="8_{E9D42B4B-BA01-4B19-8F80-704B88404814}" xr6:coauthVersionLast="47" xr6:coauthVersionMax="47" xr10:uidLastSave="{00000000-0000-0000-0000-000000000000}"/>
  <bookViews>
    <workbookView xWindow="-120" yWindow="-120" windowWidth="29040" windowHeight="15840" activeTab="5" xr2:uid="{D2D94D56-B845-48A2-9516-2361ADA526B5}"/>
  </bookViews>
  <sheets>
    <sheet name="Alytaus" sheetId="3" r:id="rId1"/>
    <sheet name="Akmenės" sheetId="2" r:id="rId2"/>
    <sheet name="Druskininkai" sheetId="4" r:id="rId3"/>
    <sheet name="Pagėgiai" sheetId="5" r:id="rId4"/>
    <sheet name="Panevėžys" sheetId="6" r:id="rId5"/>
    <sheet name="Šilutė" sheetId="1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4" i="1" l="1"/>
  <c r="N14" i="6"/>
  <c r="N14" i="5"/>
  <c r="L13" i="4"/>
  <c r="L14" i="2"/>
  <c r="L14" i="3"/>
  <c r="L12" i="3"/>
  <c r="D14" i="2"/>
  <c r="F14" i="2"/>
  <c r="G14" i="6"/>
  <c r="D12" i="5"/>
  <c r="D11" i="4"/>
  <c r="D12" i="3"/>
  <c r="K13" i="1"/>
  <c r="K13" i="2"/>
  <c r="G13" i="1"/>
  <c r="G13" i="2"/>
  <c r="J14" i="1"/>
  <c r="J14" i="2"/>
  <c r="F14" i="1"/>
  <c r="N12" i="5" l="1"/>
  <c r="L11" i="4"/>
  <c r="E14" i="3"/>
  <c r="D14" i="5"/>
  <c r="D14" i="6"/>
  <c r="H14" i="6"/>
  <c r="D14" i="1"/>
  <c r="I14" i="1"/>
  <c r="L14" i="5"/>
  <c r="F14" i="6" l="1"/>
  <c r="D14" i="3"/>
  <c r="D13" i="4"/>
  <c r="F14" i="5"/>
  <c r="F14" i="3"/>
  <c r="G13" i="4"/>
  <c r="G14" i="3"/>
  <c r="L13" i="5" l="1"/>
  <c r="G14" i="5"/>
  <c r="E14" i="1"/>
  <c r="H13" i="5"/>
  <c r="H12" i="1" l="1"/>
  <c r="I12" i="6"/>
  <c r="I8" i="5"/>
  <c r="I10" i="5"/>
  <c r="H8" i="4"/>
  <c r="H10" i="4"/>
  <c r="H12" i="2"/>
  <c r="H8" i="3"/>
  <c r="H10" i="3"/>
  <c r="K13" i="6" l="1"/>
  <c r="K14" i="6"/>
  <c r="J13" i="1"/>
  <c r="K13" i="5"/>
  <c r="K14" i="5"/>
  <c r="J13" i="4"/>
  <c r="J12" i="4"/>
  <c r="J13" i="3"/>
  <c r="J13" i="2"/>
  <c r="J14" i="3"/>
  <c r="J14" i="5"/>
  <c r="J13" i="5"/>
  <c r="M11" i="1"/>
  <c r="O11" i="5"/>
  <c r="O14" i="5" l="1"/>
  <c r="J11" i="5"/>
  <c r="I14" i="2"/>
  <c r="M14" i="2" s="1"/>
  <c r="M11" i="2"/>
  <c r="O11" i="6"/>
  <c r="J14" i="6"/>
  <c r="M11" i="3"/>
  <c r="I14" i="3"/>
  <c r="I11" i="3"/>
  <c r="L14" i="6"/>
  <c r="M13" i="6"/>
  <c r="M14" i="6"/>
  <c r="K13" i="3"/>
  <c r="O14" i="6"/>
  <c r="O18" i="6" s="1"/>
  <c r="M17" i="2"/>
  <c r="M16" i="2"/>
  <c r="M15" i="2"/>
  <c r="M13" i="2"/>
  <c r="M12" i="2"/>
  <c r="M10" i="2"/>
  <c r="M9" i="2"/>
  <c r="M8" i="2"/>
  <c r="M17" i="3"/>
  <c r="M16" i="3"/>
  <c r="M15" i="3"/>
  <c r="M14" i="3"/>
  <c r="M13" i="3"/>
  <c r="M12" i="3"/>
  <c r="M10" i="3"/>
  <c r="M9" i="3"/>
  <c r="M8" i="3"/>
  <c r="M16" i="4"/>
  <c r="M15" i="4"/>
  <c r="M14" i="4"/>
  <c r="M13" i="4"/>
  <c r="M12" i="4"/>
  <c r="M11" i="4"/>
  <c r="M10" i="4"/>
  <c r="M9" i="4"/>
  <c r="M8" i="4"/>
  <c r="O17" i="5"/>
  <c r="O16" i="5"/>
  <c r="O15" i="5"/>
  <c r="O13" i="5"/>
  <c r="O12" i="5"/>
  <c r="O10" i="5"/>
  <c r="O9" i="5"/>
  <c r="O8" i="5"/>
  <c r="O17" i="6"/>
  <c r="O16" i="6"/>
  <c r="O15" i="6"/>
  <c r="O13" i="6"/>
  <c r="O12" i="6"/>
  <c r="O10" i="6"/>
  <c r="O9" i="6"/>
  <c r="O8" i="6"/>
  <c r="M17" i="1"/>
  <c r="M16" i="1"/>
  <c r="M15" i="1"/>
  <c r="M14" i="1"/>
  <c r="M13" i="1"/>
  <c r="M12" i="1"/>
  <c r="M10" i="1"/>
  <c r="M9" i="1"/>
  <c r="M8" i="1"/>
  <c r="M17" i="4" l="1"/>
  <c r="M18" i="1"/>
  <c r="O18" i="5"/>
  <c r="M18" i="2"/>
  <c r="M18" i="3"/>
</calcChain>
</file>

<file path=xl/sharedStrings.xml><?xml version="1.0" encoding="utf-8"?>
<sst xmlns="http://schemas.openxmlformats.org/spreadsheetml/2006/main" count="236" uniqueCount="44">
  <si>
    <t>2019 m.                         d.  jungtinės veiklos sutarties Nr.     
2 priedas</t>
  </si>
  <si>
    <t>Partnerių vykdomos Projekto įgyvendinimo veiklos, jų vertinimo rodikliai, šioms veikloms vykdyti skiriamos lėšos</t>
  </si>
  <si>
    <t>Fizinio rodiklio pavadinimas</t>
  </si>
  <si>
    <t>Fizinis rodiklis</t>
  </si>
  <si>
    <t>Dalyvių skaičius</t>
  </si>
  <si>
    <t>Lėšos, Eur</t>
  </si>
  <si>
    <t>Bendra suma</t>
  </si>
  <si>
    <t xml:space="preserve">Dalyviai, kurie baigę dalyvauti ESF veiklose pradėjo dirbti, įskaitant savarankišką darbą, proc. </t>
  </si>
  <si>
    <t>Užimtumo tarnyba</t>
  </si>
  <si>
    <t>Šilutės rajono savivaldybė</t>
  </si>
  <si>
    <t>Koordinacinis centras "Gilė"</t>
  </si>
  <si>
    <t>VšĮ Šiaurės Lietuvos kolegija</t>
  </si>
  <si>
    <t>VšĮ Socialinių inovacijų centras</t>
  </si>
  <si>
    <t>Nedirbančių asmenų atvejo vadybininkų darbo sąlygų sudarymas</t>
  </si>
  <si>
    <t>1.1.1.</t>
  </si>
  <si>
    <t>Atvejo vadybininkų specialiųjų gebėjimų tobulinimas</t>
  </si>
  <si>
    <t>1.2.1.</t>
  </si>
  <si>
    <t>Atvejo komandos darbo sąlygų organizavimas</t>
  </si>
  <si>
    <t>1.3.1.</t>
  </si>
  <si>
    <t>Mentorystė</t>
  </si>
  <si>
    <t>1.4.1.</t>
  </si>
  <si>
    <t>Lydimoji pagalba</t>
  </si>
  <si>
    <t xml:space="preserve">Socialinės ir motyvavimo paslaugos </t>
  </si>
  <si>
    <t>Bandomoji praktika</t>
  </si>
  <si>
    <t>1.5.1.</t>
  </si>
  <si>
    <t>Pameistrystės darbo sutartis nesudarius mokymo sutarties</t>
  </si>
  <si>
    <t>1.6.1.</t>
  </si>
  <si>
    <t>Aktyvios darbo rinkos politikos priemonės</t>
  </si>
  <si>
    <t>1.7.1.</t>
  </si>
  <si>
    <t>2019 m.                         d.  jungtinės veiklos sutarties Nr.   
2 priedas</t>
  </si>
  <si>
    <t>Panevėžio savivaldybė</t>
  </si>
  <si>
    <t>VšĮ Žmogiškųjų išteklių stebėsenos plėtros biuras</t>
  </si>
  <si>
    <t>Lietuvos samariečių bendrija Vilniaus skyrius</t>
  </si>
  <si>
    <t>VšĮ Projektų valdymo ir mokymo centras</t>
  </si>
  <si>
    <t>Pagėgių savivaldybė</t>
  </si>
  <si>
    <t>Asociacija Tauragės moters užimtumo ir informacijos centras</t>
  </si>
  <si>
    <t>Druskininkų  savivaldybė</t>
  </si>
  <si>
    <t>Alytaus miesto savivaldybė</t>
  </si>
  <si>
    <t>Akmenės rajono savivaldybė</t>
  </si>
  <si>
    <t xml:space="preserve">VšĮ Žmogiškųjų išteklių stebėsenos ir plėtros biuras </t>
  </si>
  <si>
    <t>1.4.3.</t>
  </si>
  <si>
    <t>Veiklos koordinatorių darbo sąlygų sudarymas</t>
  </si>
  <si>
    <t>Veiklos koordinatoriaus darbo sąlygų sudarymas</t>
  </si>
  <si>
    <t>Veiklos kooordinatoriaus darbo sąlygų sudarymas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</si>
</sst>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</font>
    <font>
      <b/>
      <sz val="11"/>
      <color rgb="FF000000"/>
      <name val="Calibri"/>
      <family val="2"/>
      <charset val="186"/>
    </font>
    <font>
      <sz val="11"/>
      <name val="Calibri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EDEDED"/>
        <bgColor rgb="FF000000"/>
      </patternFill>
    </fill>
    <fill>
      <patternFill patternType="solid">
        <fgColor rgb="FFFFFFFF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/>
    <xf numFmtId="2" fontId="1" fillId="0" borderId="0" xfId="0" applyNumberFormat="1" applyFont="1"/>
    <xf numFmtId="2" fontId="1" fillId="3" borderId="0" xfId="0" applyNumberFormat="1" applyFont="1" applyFill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2" fontId="2" fillId="0" borderId="1" xfId="0" applyNumberFormat="1" applyFont="1" applyBorder="1" applyAlignment="1">
      <alignment wrapText="1"/>
    </xf>
    <xf numFmtId="2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wrapText="1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2" fontId="1" fillId="3" borderId="13" xfId="0" applyNumberFormat="1" applyFont="1" applyFill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2" fontId="1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1" fontId="1" fillId="0" borderId="7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2" fillId="0" borderId="4" xfId="0" applyFont="1" applyBorder="1" applyAlignment="1">
      <alignment horizontal="right"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1" fontId="1" fillId="0" borderId="1" xfId="0" applyNumberFormat="1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9B41B-BD95-450D-A134-FA7799485760}">
  <dimension ref="A1:N21"/>
  <sheetViews>
    <sheetView topLeftCell="A7" workbookViewId="0">
      <selection activeCell="C20" sqref="C20:D24"/>
    </sheetView>
  </sheetViews>
  <sheetFormatPr defaultColWidth="9.140625" defaultRowHeight="15" x14ac:dyDescent="0.25"/>
  <cols>
    <col min="1" max="1" width="32.140625" style="1" customWidth="1"/>
    <col min="2" max="2" width="9.42578125" style="1" customWidth="1"/>
    <col min="3" max="3" width="10.7109375" style="1" customWidth="1"/>
    <col min="4" max="4" width="11.7109375" style="1" customWidth="1"/>
    <col min="5" max="5" width="10.5703125" style="1" customWidth="1"/>
    <col min="6" max="7" width="9.42578125" style="1" customWidth="1"/>
    <col min="8" max="8" width="18.5703125" style="1" customWidth="1"/>
    <col min="9" max="9" width="10.85546875" style="1" customWidth="1"/>
    <col min="10" max="11" width="9.42578125" style="1" customWidth="1"/>
    <col min="12" max="12" width="11.28515625" style="1" customWidth="1"/>
    <col min="13" max="13" width="12.28515625" style="1" customWidth="1"/>
    <col min="14" max="14" width="13.5703125" style="1" customWidth="1"/>
    <col min="15" max="16384" width="9.140625" style="1"/>
  </cols>
  <sheetData>
    <row r="1" spans="1:14" x14ac:dyDescent="0.25">
      <c r="M1" s="58" t="s">
        <v>0</v>
      </c>
      <c r="N1" s="58"/>
    </row>
    <row r="2" spans="1:14" ht="49.5" customHeight="1" x14ac:dyDescent="0.25">
      <c r="M2" s="58"/>
      <c r="N2" s="58"/>
    </row>
    <row r="3" spans="1:14" x14ac:dyDescent="0.25">
      <c r="M3" s="2"/>
      <c r="N3" s="2"/>
    </row>
    <row r="4" spans="1:14" x14ac:dyDescent="0.25">
      <c r="A4" s="59" t="s">
        <v>1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</row>
    <row r="5" spans="1:14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17" customFormat="1" ht="24" customHeight="1" x14ac:dyDescent="0.25">
      <c r="A6" s="60" t="s">
        <v>2</v>
      </c>
      <c r="B6" s="60" t="s">
        <v>3</v>
      </c>
      <c r="C6" s="61" t="s">
        <v>4</v>
      </c>
      <c r="D6" s="62"/>
      <c r="E6" s="62"/>
      <c r="F6" s="62"/>
      <c r="G6" s="63"/>
      <c r="H6" s="64" t="s">
        <v>5</v>
      </c>
      <c r="I6" s="64"/>
      <c r="J6" s="64"/>
      <c r="K6" s="64"/>
      <c r="L6" s="64"/>
      <c r="M6" s="60" t="s">
        <v>6</v>
      </c>
      <c r="N6" s="60" t="s">
        <v>7</v>
      </c>
    </row>
    <row r="7" spans="1:14" s="17" customFormat="1" ht="90" x14ac:dyDescent="0.25">
      <c r="A7" s="60"/>
      <c r="B7" s="60"/>
      <c r="C7" s="4" t="s">
        <v>8</v>
      </c>
      <c r="D7" s="4" t="s">
        <v>37</v>
      </c>
      <c r="E7" s="4" t="s">
        <v>32</v>
      </c>
      <c r="F7" s="4" t="s">
        <v>11</v>
      </c>
      <c r="G7" s="4" t="s">
        <v>33</v>
      </c>
      <c r="H7" s="4" t="s">
        <v>8</v>
      </c>
      <c r="I7" s="4" t="s">
        <v>32</v>
      </c>
      <c r="J7" s="4" t="s">
        <v>11</v>
      </c>
      <c r="K7" s="4" t="s">
        <v>33</v>
      </c>
      <c r="L7" s="4" t="s">
        <v>37</v>
      </c>
      <c r="M7" s="60"/>
      <c r="N7" s="60"/>
    </row>
    <row r="8" spans="1:14" s="17" customFormat="1" ht="45" x14ac:dyDescent="0.25">
      <c r="A8" s="5" t="s">
        <v>13</v>
      </c>
      <c r="B8" s="6" t="s">
        <v>14</v>
      </c>
      <c r="C8" s="6">
        <v>1</v>
      </c>
      <c r="D8" s="6">
        <v>0</v>
      </c>
      <c r="E8" s="21">
        <v>0</v>
      </c>
      <c r="F8" s="21">
        <v>0</v>
      </c>
      <c r="G8" s="21">
        <v>0</v>
      </c>
      <c r="H8" s="22">
        <f>46480.72+283.78</f>
        <v>46764.5</v>
      </c>
      <c r="I8" s="22">
        <v>0</v>
      </c>
      <c r="J8" s="22">
        <v>0</v>
      </c>
      <c r="K8" s="22">
        <v>0</v>
      </c>
      <c r="L8" s="22">
        <v>0</v>
      </c>
      <c r="M8" s="22">
        <f>SUM(H8:L8)</f>
        <v>46764.5</v>
      </c>
      <c r="N8" s="52">
        <v>30</v>
      </c>
    </row>
    <row r="9" spans="1:14" s="17" customFormat="1" ht="30" x14ac:dyDescent="0.25">
      <c r="A9" s="5" t="s">
        <v>15</v>
      </c>
      <c r="B9" s="6" t="s">
        <v>16</v>
      </c>
      <c r="C9" s="6">
        <v>1</v>
      </c>
      <c r="D9" s="6">
        <v>0</v>
      </c>
      <c r="E9" s="21">
        <v>0</v>
      </c>
      <c r="F9" s="21">
        <v>0</v>
      </c>
      <c r="G9" s="21">
        <v>0</v>
      </c>
      <c r="H9" s="22">
        <v>1114.4100000000001</v>
      </c>
      <c r="I9" s="22">
        <v>0</v>
      </c>
      <c r="J9" s="22">
        <v>0</v>
      </c>
      <c r="K9" s="22">
        <v>0</v>
      </c>
      <c r="L9" s="22">
        <v>0</v>
      </c>
      <c r="M9" s="22">
        <f>SUM(H9:L9)</f>
        <v>1114.4100000000001</v>
      </c>
      <c r="N9" s="53"/>
    </row>
    <row r="10" spans="1:14" s="17" customFormat="1" ht="30" x14ac:dyDescent="0.25">
      <c r="A10" s="5" t="s">
        <v>17</v>
      </c>
      <c r="B10" s="6" t="s">
        <v>18</v>
      </c>
      <c r="C10" s="6">
        <v>37</v>
      </c>
      <c r="D10" s="6">
        <v>0</v>
      </c>
      <c r="E10" s="21">
        <v>0</v>
      </c>
      <c r="F10" s="21">
        <v>0</v>
      </c>
      <c r="G10" s="21">
        <v>0</v>
      </c>
      <c r="H10" s="22">
        <f>756.25-283.78-283.77</f>
        <v>188.70000000000005</v>
      </c>
      <c r="I10" s="22">
        <v>0</v>
      </c>
      <c r="J10" s="22">
        <v>0</v>
      </c>
      <c r="K10" s="22">
        <v>0</v>
      </c>
      <c r="L10" s="22">
        <v>0</v>
      </c>
      <c r="M10" s="22">
        <f t="shared" ref="M10:M17" si="0">SUM(H10:L10)</f>
        <v>188.70000000000005</v>
      </c>
      <c r="N10" s="53"/>
    </row>
    <row r="11" spans="1:14" s="17" customFormat="1" ht="30" x14ac:dyDescent="0.25">
      <c r="A11" s="5" t="s">
        <v>42</v>
      </c>
      <c r="B11" s="25" t="s">
        <v>40</v>
      </c>
      <c r="C11" s="25">
        <v>0</v>
      </c>
      <c r="D11" s="25">
        <v>0</v>
      </c>
      <c r="E11" s="40">
        <v>1</v>
      </c>
      <c r="F11" s="40">
        <v>0</v>
      </c>
      <c r="G11" s="40">
        <v>0</v>
      </c>
      <c r="H11" s="22">
        <v>2342.3000000000002</v>
      </c>
      <c r="I11" s="22">
        <f>1500+750.2+92.1</f>
        <v>2342.2999999999997</v>
      </c>
      <c r="J11" s="22">
        <v>0</v>
      </c>
      <c r="K11" s="22">
        <v>0</v>
      </c>
      <c r="L11" s="41">
        <v>0</v>
      </c>
      <c r="M11" s="22">
        <f>SUM(I11:L11)</f>
        <v>2342.2999999999997</v>
      </c>
      <c r="N11" s="53"/>
    </row>
    <row r="12" spans="1:14" s="17" customFormat="1" x14ac:dyDescent="0.25">
      <c r="A12" s="5" t="s">
        <v>19</v>
      </c>
      <c r="B12" s="6" t="s">
        <v>20</v>
      </c>
      <c r="C12" s="15">
        <v>0</v>
      </c>
      <c r="D12" s="51">
        <f>150+20+9+9</f>
        <v>188</v>
      </c>
      <c r="E12" s="40">
        <v>0</v>
      </c>
      <c r="F12" s="40">
        <v>0</v>
      </c>
      <c r="G12" s="40">
        <v>0</v>
      </c>
      <c r="H12" s="22">
        <v>0</v>
      </c>
      <c r="I12" s="22">
        <v>0</v>
      </c>
      <c r="J12" s="22">
        <v>0</v>
      </c>
      <c r="K12" s="22">
        <v>0</v>
      </c>
      <c r="L12" s="22">
        <f>57304.72+1443.2+649.44</f>
        <v>59397.36</v>
      </c>
      <c r="M12" s="22">
        <f t="shared" si="0"/>
        <v>59397.36</v>
      </c>
      <c r="N12" s="53"/>
    </row>
    <row r="13" spans="1:14" s="17" customFormat="1" x14ac:dyDescent="0.25">
      <c r="A13" s="5" t="s">
        <v>21</v>
      </c>
      <c r="B13" s="6" t="s">
        <v>20</v>
      </c>
      <c r="C13" s="6">
        <v>0</v>
      </c>
      <c r="D13" s="6">
        <v>0</v>
      </c>
      <c r="E13" s="21">
        <v>25</v>
      </c>
      <c r="F13" s="21">
        <v>0</v>
      </c>
      <c r="G13" s="21">
        <v>25</v>
      </c>
      <c r="H13" s="22">
        <v>0</v>
      </c>
      <c r="I13" s="22">
        <v>12025</v>
      </c>
      <c r="J13" s="22">
        <f>12025-12025</f>
        <v>0</v>
      </c>
      <c r="K13" s="22">
        <f>12025+6013</f>
        <v>18038</v>
      </c>
      <c r="L13" s="22">
        <v>0</v>
      </c>
      <c r="M13" s="22">
        <f t="shared" si="0"/>
        <v>30063</v>
      </c>
      <c r="N13" s="53"/>
    </row>
    <row r="14" spans="1:14" s="17" customFormat="1" ht="30" x14ac:dyDescent="0.25">
      <c r="A14" s="5" t="s">
        <v>22</v>
      </c>
      <c r="B14" s="6" t="s">
        <v>20</v>
      </c>
      <c r="C14" s="16">
        <v>0</v>
      </c>
      <c r="D14" s="20">
        <f>150+20+9+9</f>
        <v>188</v>
      </c>
      <c r="E14" s="40">
        <f>50+9</f>
        <v>59</v>
      </c>
      <c r="F14" s="40">
        <f>50+9</f>
        <v>59</v>
      </c>
      <c r="G14" s="40">
        <f>50+20</f>
        <v>70</v>
      </c>
      <c r="H14" s="22">
        <v>0</v>
      </c>
      <c r="I14" s="22">
        <f>56654.4+11330.88-2342.3</f>
        <v>65642.98</v>
      </c>
      <c r="J14" s="22">
        <f>56654.4+11330.88+12025</f>
        <v>80010.28</v>
      </c>
      <c r="K14" s="22">
        <v>79316.160000000003</v>
      </c>
      <c r="L14" s="22">
        <f>55690.8+1760+5665.44+792+2549.45+2549.45+0.01</f>
        <v>69007.149999999994</v>
      </c>
      <c r="M14" s="22">
        <f t="shared" si="0"/>
        <v>293976.57</v>
      </c>
      <c r="N14" s="53"/>
    </row>
    <row r="15" spans="1:14" s="17" customFormat="1" x14ac:dyDescent="0.25">
      <c r="A15" s="5" t="s">
        <v>23</v>
      </c>
      <c r="B15" s="6" t="s">
        <v>24</v>
      </c>
      <c r="C15" s="6">
        <v>33</v>
      </c>
      <c r="D15" s="6">
        <v>0</v>
      </c>
      <c r="E15" s="21">
        <v>0</v>
      </c>
      <c r="F15" s="21">
        <v>0</v>
      </c>
      <c r="G15" s="21">
        <v>0</v>
      </c>
      <c r="H15" s="22">
        <v>27599.22</v>
      </c>
      <c r="I15" s="22">
        <v>0</v>
      </c>
      <c r="J15" s="22">
        <v>0</v>
      </c>
      <c r="K15" s="22">
        <v>0</v>
      </c>
      <c r="L15" s="22">
        <v>0</v>
      </c>
      <c r="M15" s="22">
        <f t="shared" si="0"/>
        <v>27599.22</v>
      </c>
      <c r="N15" s="53"/>
    </row>
    <row r="16" spans="1:14" s="17" customFormat="1" ht="30" x14ac:dyDescent="0.25">
      <c r="A16" s="5" t="s">
        <v>25</v>
      </c>
      <c r="B16" s="6" t="s">
        <v>26</v>
      </c>
      <c r="C16" s="6">
        <v>16</v>
      </c>
      <c r="D16" s="6">
        <v>0</v>
      </c>
      <c r="E16" s="21">
        <v>0</v>
      </c>
      <c r="F16" s="21">
        <v>0</v>
      </c>
      <c r="G16" s="21">
        <v>0</v>
      </c>
      <c r="H16" s="22">
        <v>11860.68</v>
      </c>
      <c r="I16" s="22">
        <v>0</v>
      </c>
      <c r="J16" s="22">
        <v>0</v>
      </c>
      <c r="K16" s="22">
        <v>0</v>
      </c>
      <c r="L16" s="22">
        <v>0</v>
      </c>
      <c r="M16" s="22">
        <f t="shared" si="0"/>
        <v>11860.68</v>
      </c>
      <c r="N16" s="53"/>
    </row>
    <row r="17" spans="1:14" s="17" customFormat="1" ht="30" x14ac:dyDescent="0.25">
      <c r="A17" s="5" t="s">
        <v>27</v>
      </c>
      <c r="B17" s="6" t="s">
        <v>28</v>
      </c>
      <c r="C17" s="6">
        <v>80</v>
      </c>
      <c r="D17" s="6">
        <v>0</v>
      </c>
      <c r="E17" s="21">
        <v>0</v>
      </c>
      <c r="F17" s="21">
        <v>0</v>
      </c>
      <c r="G17" s="21">
        <v>0</v>
      </c>
      <c r="H17" s="22">
        <v>238930.48499999999</v>
      </c>
      <c r="I17" s="22">
        <v>0</v>
      </c>
      <c r="J17" s="22">
        <v>0</v>
      </c>
      <c r="K17" s="22">
        <v>0</v>
      </c>
      <c r="L17" s="22">
        <v>0</v>
      </c>
      <c r="M17" s="22">
        <f t="shared" si="0"/>
        <v>238930.48499999999</v>
      </c>
      <c r="N17" s="54"/>
    </row>
    <row r="18" spans="1:14" s="17" customFormat="1" x14ac:dyDescent="0.25">
      <c r="A18" s="55" t="s">
        <v>6</v>
      </c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7"/>
      <c r="M18" s="18">
        <f>+M8+M9+M10+M11+M12+M13+M14+M15+M16+M17</f>
        <v>712237.22500000009</v>
      </c>
      <c r="N18" s="18"/>
    </row>
    <row r="20" spans="1:14" ht="24" customHeight="1" x14ac:dyDescent="0.25">
      <c r="B20" s="9"/>
      <c r="D20" s="9"/>
      <c r="M20" s="9"/>
    </row>
    <row r="21" spans="1:14" ht="24" customHeight="1" x14ac:dyDescent="0.25">
      <c r="H21" s="10"/>
      <c r="M21" s="9"/>
    </row>
  </sheetData>
  <mergeCells count="10">
    <mergeCell ref="N8:N17"/>
    <mergeCell ref="A18:L18"/>
    <mergeCell ref="M1:N2"/>
    <mergeCell ref="A4:N4"/>
    <mergeCell ref="A6:A7"/>
    <mergeCell ref="B6:B7"/>
    <mergeCell ref="C6:G6"/>
    <mergeCell ref="H6:L6"/>
    <mergeCell ref="M6:M7"/>
    <mergeCell ref="N6:N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13AC0-D7CC-4C86-9D9C-544BE02B417B}">
  <dimension ref="A1:N23"/>
  <sheetViews>
    <sheetView topLeftCell="A10" workbookViewId="0">
      <selection activeCell="D20" sqref="D20:E20"/>
    </sheetView>
  </sheetViews>
  <sheetFormatPr defaultColWidth="9.140625" defaultRowHeight="15" x14ac:dyDescent="0.25"/>
  <cols>
    <col min="1" max="1" width="32.140625" style="1" customWidth="1"/>
    <col min="2" max="2" width="9.42578125" style="1" customWidth="1"/>
    <col min="3" max="3" width="10.140625" style="1" customWidth="1"/>
    <col min="4" max="4" width="11.140625" style="1" customWidth="1"/>
    <col min="5" max="5" width="11" style="1" customWidth="1"/>
    <col min="6" max="7" width="9.42578125" style="1" customWidth="1"/>
    <col min="8" max="13" width="12.28515625" style="1" customWidth="1"/>
    <col min="14" max="14" width="15.5703125" style="1" customWidth="1"/>
    <col min="15" max="16384" width="9.140625" style="1"/>
  </cols>
  <sheetData>
    <row r="1" spans="1:14" x14ac:dyDescent="0.25">
      <c r="M1" s="58" t="s">
        <v>0</v>
      </c>
      <c r="N1" s="58"/>
    </row>
    <row r="2" spans="1:14" x14ac:dyDescent="0.25">
      <c r="M2" s="58"/>
      <c r="N2" s="58"/>
    </row>
    <row r="3" spans="1:14" x14ac:dyDescent="0.25">
      <c r="M3" s="2"/>
      <c r="N3" s="2"/>
    </row>
    <row r="4" spans="1:14" x14ac:dyDescent="0.25">
      <c r="A4" s="59" t="s">
        <v>1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</row>
    <row r="5" spans="1:14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x14ac:dyDescent="0.25">
      <c r="A6" s="60" t="s">
        <v>2</v>
      </c>
      <c r="B6" s="60" t="s">
        <v>3</v>
      </c>
      <c r="C6" s="61" t="s">
        <v>4</v>
      </c>
      <c r="D6" s="62"/>
      <c r="E6" s="62"/>
      <c r="F6" s="62"/>
      <c r="G6" s="63"/>
      <c r="H6" s="64" t="s">
        <v>5</v>
      </c>
      <c r="I6" s="64"/>
      <c r="J6" s="64"/>
      <c r="K6" s="64"/>
      <c r="L6" s="64"/>
      <c r="M6" s="60" t="s">
        <v>6</v>
      </c>
      <c r="N6" s="60" t="s">
        <v>7</v>
      </c>
    </row>
    <row r="7" spans="1:14" ht="90" x14ac:dyDescent="0.25">
      <c r="A7" s="60"/>
      <c r="B7" s="60"/>
      <c r="C7" s="4" t="s">
        <v>8</v>
      </c>
      <c r="D7" s="4" t="s">
        <v>38</v>
      </c>
      <c r="E7" s="4" t="s">
        <v>39</v>
      </c>
      <c r="F7" s="4" t="s">
        <v>11</v>
      </c>
      <c r="G7" s="4" t="s">
        <v>12</v>
      </c>
      <c r="H7" s="4" t="s">
        <v>8</v>
      </c>
      <c r="I7" s="4" t="s">
        <v>39</v>
      </c>
      <c r="J7" s="4" t="s">
        <v>11</v>
      </c>
      <c r="K7" s="4" t="s">
        <v>12</v>
      </c>
      <c r="L7" s="4" t="s">
        <v>38</v>
      </c>
      <c r="M7" s="60"/>
      <c r="N7" s="60"/>
    </row>
    <row r="8" spans="1:14" ht="45" x14ac:dyDescent="0.25">
      <c r="A8" s="5" t="s">
        <v>13</v>
      </c>
      <c r="B8" s="6" t="s">
        <v>14</v>
      </c>
      <c r="C8" s="39">
        <v>0</v>
      </c>
      <c r="D8" s="39">
        <v>1</v>
      </c>
      <c r="E8" s="39">
        <v>0</v>
      </c>
      <c r="F8" s="39">
        <v>0</v>
      </c>
      <c r="G8" s="39">
        <v>0</v>
      </c>
      <c r="H8" s="38">
        <v>0</v>
      </c>
      <c r="I8" s="38">
        <v>0</v>
      </c>
      <c r="J8" s="38">
        <v>0</v>
      </c>
      <c r="K8" s="38">
        <v>0</v>
      </c>
      <c r="L8" s="38">
        <v>46480.72</v>
      </c>
      <c r="M8" s="19">
        <f>SUM(I8:L8)</f>
        <v>46480.72</v>
      </c>
      <c r="N8" s="52">
        <v>30</v>
      </c>
    </row>
    <row r="9" spans="1:14" ht="30" x14ac:dyDescent="0.25">
      <c r="A9" s="5" t="s">
        <v>15</v>
      </c>
      <c r="B9" s="6" t="s">
        <v>16</v>
      </c>
      <c r="C9" s="39">
        <v>1</v>
      </c>
      <c r="D9" s="42">
        <v>0</v>
      </c>
      <c r="E9" s="39">
        <v>0</v>
      </c>
      <c r="F9" s="39">
        <v>0</v>
      </c>
      <c r="G9" s="39">
        <v>0</v>
      </c>
      <c r="H9" s="38">
        <v>1114.4100000000001</v>
      </c>
      <c r="I9" s="38">
        <v>0</v>
      </c>
      <c r="J9" s="38">
        <v>0</v>
      </c>
      <c r="K9" s="38">
        <v>0</v>
      </c>
      <c r="L9" s="38">
        <v>0</v>
      </c>
      <c r="M9" s="19">
        <f>SUM(H9:L9)</f>
        <v>1114.4100000000001</v>
      </c>
      <c r="N9" s="53"/>
    </row>
    <row r="10" spans="1:14" ht="30" x14ac:dyDescent="0.25">
      <c r="A10" s="5" t="s">
        <v>17</v>
      </c>
      <c r="B10" s="6" t="s">
        <v>18</v>
      </c>
      <c r="C10" s="43">
        <v>0</v>
      </c>
      <c r="D10" s="44">
        <v>37</v>
      </c>
      <c r="E10" s="39">
        <v>0</v>
      </c>
      <c r="F10" s="39">
        <v>0</v>
      </c>
      <c r="G10" s="39">
        <v>0</v>
      </c>
      <c r="H10" s="38">
        <v>0</v>
      </c>
      <c r="I10" s="38">
        <v>0</v>
      </c>
      <c r="J10" s="38">
        <v>0</v>
      </c>
      <c r="K10" s="38">
        <v>0</v>
      </c>
      <c r="L10" s="38">
        <v>756.25</v>
      </c>
      <c r="M10" s="19">
        <f t="shared" ref="M10:M17" si="0">SUM(H10:L10)</f>
        <v>756.25</v>
      </c>
      <c r="N10" s="53"/>
    </row>
    <row r="11" spans="1:14" ht="30" x14ac:dyDescent="0.25">
      <c r="A11" s="5" t="s">
        <v>41</v>
      </c>
      <c r="B11" s="26" t="s">
        <v>40</v>
      </c>
      <c r="C11" s="39">
        <v>0</v>
      </c>
      <c r="D11" s="45">
        <v>0</v>
      </c>
      <c r="E11" s="39">
        <v>1</v>
      </c>
      <c r="F11" s="39">
        <v>0</v>
      </c>
      <c r="G11" s="39">
        <v>0</v>
      </c>
      <c r="H11" s="38">
        <v>0</v>
      </c>
      <c r="I11" s="38">
        <v>1171.1500000000001</v>
      </c>
      <c r="J11" s="38">
        <v>0</v>
      </c>
      <c r="K11" s="38">
        <v>780.76</v>
      </c>
      <c r="L11" s="38">
        <v>0</v>
      </c>
      <c r="M11" s="19">
        <f>SUM(H11:L11)</f>
        <v>1951.91</v>
      </c>
      <c r="N11" s="53"/>
    </row>
    <row r="12" spans="1:14" x14ac:dyDescent="0.25">
      <c r="A12" s="5" t="s">
        <v>19</v>
      </c>
      <c r="B12" s="6" t="s">
        <v>20</v>
      </c>
      <c r="C12" s="39">
        <v>150</v>
      </c>
      <c r="D12" s="39">
        <v>0</v>
      </c>
      <c r="E12" s="39">
        <v>0</v>
      </c>
      <c r="F12" s="39">
        <v>0</v>
      </c>
      <c r="G12" s="39">
        <v>0</v>
      </c>
      <c r="H12" s="38">
        <f>57304.72+283.77</f>
        <v>57588.49</v>
      </c>
      <c r="I12" s="38">
        <v>0</v>
      </c>
      <c r="J12" s="38">
        <v>0</v>
      </c>
      <c r="K12" s="38">
        <v>0</v>
      </c>
      <c r="L12" s="38">
        <v>0</v>
      </c>
      <c r="M12" s="19">
        <f>SUM(H12:K12)</f>
        <v>57588.49</v>
      </c>
      <c r="N12" s="53"/>
    </row>
    <row r="13" spans="1:14" x14ac:dyDescent="0.25">
      <c r="A13" s="5" t="s">
        <v>21</v>
      </c>
      <c r="B13" s="6" t="s">
        <v>20</v>
      </c>
      <c r="C13" s="39">
        <v>0</v>
      </c>
      <c r="D13" s="39">
        <v>0</v>
      </c>
      <c r="E13" s="39">
        <v>0</v>
      </c>
      <c r="F13" s="39">
        <v>0</v>
      </c>
      <c r="G13" s="39">
        <f>50-11</f>
        <v>39</v>
      </c>
      <c r="H13" s="38">
        <v>0</v>
      </c>
      <c r="I13" s="38">
        <v>0</v>
      </c>
      <c r="J13" s="38">
        <f>12025-2025-10000</f>
        <v>0</v>
      </c>
      <c r="K13" s="38">
        <f>19478.14-636.92</f>
        <v>18841.22</v>
      </c>
      <c r="L13" s="38">
        <v>0</v>
      </c>
      <c r="M13" s="19">
        <f t="shared" si="0"/>
        <v>18841.22</v>
      </c>
      <c r="N13" s="53"/>
    </row>
    <row r="14" spans="1:14" ht="30" x14ac:dyDescent="0.25">
      <c r="A14" s="5" t="s">
        <v>22</v>
      </c>
      <c r="B14" s="6" t="s">
        <v>20</v>
      </c>
      <c r="C14" s="39">
        <v>0</v>
      </c>
      <c r="D14" s="39">
        <f>150-9-11+1</f>
        <v>131</v>
      </c>
      <c r="E14" s="39">
        <v>50</v>
      </c>
      <c r="F14" s="39">
        <f>50-9+1</f>
        <v>42</v>
      </c>
      <c r="G14" s="39">
        <v>0</v>
      </c>
      <c r="H14" s="38">
        <v>13200</v>
      </c>
      <c r="I14" s="38">
        <f>56654.4-I11+12025</f>
        <v>67508.25</v>
      </c>
      <c r="J14" s="38">
        <f>56654.4-10197.73+2025</f>
        <v>48481.67</v>
      </c>
      <c r="K14" s="38">
        <v>34119.47</v>
      </c>
      <c r="L14" s="38">
        <f>42490.8-5665.44+0.01</f>
        <v>36825.370000000003</v>
      </c>
      <c r="M14" s="19">
        <f t="shared" si="0"/>
        <v>200134.76</v>
      </c>
      <c r="N14" s="53"/>
    </row>
    <row r="15" spans="1:14" x14ac:dyDescent="0.25">
      <c r="A15" s="5" t="s">
        <v>23</v>
      </c>
      <c r="B15" s="6" t="s">
        <v>24</v>
      </c>
      <c r="C15" s="39">
        <v>33</v>
      </c>
      <c r="D15" s="39">
        <v>0</v>
      </c>
      <c r="E15" s="39">
        <v>0</v>
      </c>
      <c r="F15" s="39">
        <v>0</v>
      </c>
      <c r="G15" s="39">
        <v>0</v>
      </c>
      <c r="H15" s="38">
        <v>27599.22</v>
      </c>
      <c r="I15" s="38">
        <v>0</v>
      </c>
      <c r="J15" s="38">
        <v>0</v>
      </c>
      <c r="K15" s="38">
        <v>0</v>
      </c>
      <c r="L15" s="38">
        <v>0</v>
      </c>
      <c r="M15" s="19">
        <f t="shared" si="0"/>
        <v>27599.22</v>
      </c>
      <c r="N15" s="53"/>
    </row>
    <row r="16" spans="1:14" ht="30" x14ac:dyDescent="0.25">
      <c r="A16" s="5" t="s">
        <v>25</v>
      </c>
      <c r="B16" s="6" t="s">
        <v>26</v>
      </c>
      <c r="C16" s="39">
        <v>17</v>
      </c>
      <c r="D16" s="39">
        <v>0</v>
      </c>
      <c r="E16" s="39">
        <v>0</v>
      </c>
      <c r="F16" s="39">
        <v>0</v>
      </c>
      <c r="G16" s="39">
        <v>0</v>
      </c>
      <c r="H16" s="38">
        <v>12601.98</v>
      </c>
      <c r="I16" s="38">
        <v>0</v>
      </c>
      <c r="J16" s="38">
        <v>0</v>
      </c>
      <c r="K16" s="38">
        <v>0</v>
      </c>
      <c r="L16" s="38">
        <v>0</v>
      </c>
      <c r="M16" s="19">
        <f t="shared" si="0"/>
        <v>12601.98</v>
      </c>
      <c r="N16" s="53"/>
    </row>
    <row r="17" spans="1:14" ht="30" x14ac:dyDescent="0.25">
      <c r="A17" s="5" t="s">
        <v>27</v>
      </c>
      <c r="B17" s="6" t="s">
        <v>28</v>
      </c>
      <c r="C17" s="39">
        <v>80</v>
      </c>
      <c r="D17" s="39">
        <v>0</v>
      </c>
      <c r="E17" s="39">
        <v>0</v>
      </c>
      <c r="F17" s="39">
        <v>0</v>
      </c>
      <c r="G17" s="39">
        <v>0</v>
      </c>
      <c r="H17" s="38">
        <v>238930.48499999999</v>
      </c>
      <c r="I17" s="38">
        <v>0</v>
      </c>
      <c r="J17" s="38">
        <v>0</v>
      </c>
      <c r="K17" s="38">
        <v>0</v>
      </c>
      <c r="L17" s="38">
        <v>0</v>
      </c>
      <c r="M17" s="19">
        <f t="shared" si="0"/>
        <v>238930.48499999999</v>
      </c>
      <c r="N17" s="54"/>
    </row>
    <row r="18" spans="1:14" x14ac:dyDescent="0.25">
      <c r="A18" s="65" t="s">
        <v>6</v>
      </c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7"/>
      <c r="M18" s="8">
        <f>+M8+M9+M10+M11+M12+M13+M14+M15+M16+M17</f>
        <v>605999.44499999995</v>
      </c>
      <c r="N18" s="8"/>
    </row>
    <row r="20" spans="1:14" x14ac:dyDescent="0.25">
      <c r="B20" s="9"/>
    </row>
    <row r="21" spans="1:14" x14ac:dyDescent="0.25">
      <c r="H21" s="10"/>
      <c r="M21" s="9"/>
    </row>
    <row r="22" spans="1:14" x14ac:dyDescent="0.25">
      <c r="M22" s="9"/>
    </row>
    <row r="23" spans="1:14" x14ac:dyDescent="0.25">
      <c r="J23" s="9"/>
    </row>
  </sheetData>
  <mergeCells count="10">
    <mergeCell ref="N8:N17"/>
    <mergeCell ref="A18:L18"/>
    <mergeCell ref="M1:N2"/>
    <mergeCell ref="A4:N4"/>
    <mergeCell ref="A6:A7"/>
    <mergeCell ref="B6:B7"/>
    <mergeCell ref="C6:G6"/>
    <mergeCell ref="H6:L6"/>
    <mergeCell ref="M6:M7"/>
    <mergeCell ref="N6:N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F81A0-0E4A-4707-A41B-770E0AB02EEC}">
  <dimension ref="A1:O23"/>
  <sheetViews>
    <sheetView topLeftCell="A6" workbookViewId="0">
      <selection activeCell="D20" sqref="D20:E20"/>
    </sheetView>
  </sheetViews>
  <sheetFormatPr defaultColWidth="9.140625" defaultRowHeight="15" x14ac:dyDescent="0.25"/>
  <cols>
    <col min="1" max="1" width="32.140625" style="1" customWidth="1"/>
    <col min="2" max="2" width="13.140625" style="1" customWidth="1"/>
    <col min="3" max="3" width="11.28515625" style="1" customWidth="1"/>
    <col min="4" max="4" width="11.5703125" style="1" customWidth="1"/>
    <col min="5" max="5" width="10.42578125" style="1" customWidth="1"/>
    <col min="6" max="7" width="9.42578125" style="1" customWidth="1"/>
    <col min="8" max="8" width="10.5703125" style="1" customWidth="1"/>
    <col min="9" max="9" width="10.140625" style="1" customWidth="1"/>
    <col min="10" max="10" width="11.85546875" style="1" customWidth="1"/>
    <col min="11" max="11" width="9.42578125" style="1" customWidth="1"/>
    <col min="12" max="12" width="14.5703125" style="1" customWidth="1"/>
    <col min="13" max="13" width="13.5703125" style="1" customWidth="1"/>
    <col min="14" max="14" width="16.7109375" style="1" customWidth="1"/>
    <col min="15" max="15" width="14.140625" style="1" customWidth="1"/>
    <col min="16" max="16" width="13.140625" style="1" customWidth="1"/>
    <col min="17" max="16384" width="9.140625" style="1"/>
  </cols>
  <sheetData>
    <row r="1" spans="1:15" ht="45.75" customHeight="1" x14ac:dyDescent="0.25">
      <c r="M1" s="58" t="s">
        <v>0</v>
      </c>
      <c r="N1" s="58"/>
    </row>
    <row r="2" spans="1:15" x14ac:dyDescent="0.25">
      <c r="M2" s="58"/>
      <c r="N2" s="58"/>
    </row>
    <row r="3" spans="1:15" x14ac:dyDescent="0.25">
      <c r="M3" s="2"/>
      <c r="N3" s="2"/>
    </row>
    <row r="4" spans="1:15" x14ac:dyDescent="0.25">
      <c r="A4" s="59" t="s">
        <v>1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</row>
    <row r="5" spans="1:1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5" ht="15" customHeight="1" x14ac:dyDescent="0.25">
      <c r="A6" s="68" t="s">
        <v>2</v>
      </c>
      <c r="B6" s="68" t="s">
        <v>3</v>
      </c>
      <c r="C6" s="61" t="s">
        <v>4</v>
      </c>
      <c r="D6" s="62"/>
      <c r="E6" s="62"/>
      <c r="F6" s="62"/>
      <c r="G6" s="63"/>
      <c r="H6" s="64" t="s">
        <v>5</v>
      </c>
      <c r="I6" s="64"/>
      <c r="J6" s="64"/>
      <c r="K6" s="64"/>
      <c r="L6" s="64"/>
      <c r="M6" s="60" t="s">
        <v>6</v>
      </c>
      <c r="N6" s="60" t="s">
        <v>7</v>
      </c>
    </row>
    <row r="7" spans="1:15" ht="90" x14ac:dyDescent="0.25">
      <c r="A7" s="68"/>
      <c r="B7" s="68"/>
      <c r="C7" s="4" t="s">
        <v>8</v>
      </c>
      <c r="D7" s="4" t="s">
        <v>36</v>
      </c>
      <c r="E7" s="4" t="s">
        <v>32</v>
      </c>
      <c r="F7" s="4" t="s">
        <v>11</v>
      </c>
      <c r="G7" s="4" t="s">
        <v>33</v>
      </c>
      <c r="H7" s="4" t="s">
        <v>8</v>
      </c>
      <c r="I7" s="4" t="s">
        <v>32</v>
      </c>
      <c r="J7" s="4" t="s">
        <v>11</v>
      </c>
      <c r="K7" s="4" t="s">
        <v>33</v>
      </c>
      <c r="L7" s="4" t="s">
        <v>36</v>
      </c>
      <c r="M7" s="60"/>
      <c r="N7" s="60"/>
    </row>
    <row r="8" spans="1:15" ht="45" x14ac:dyDescent="0.25">
      <c r="A8" s="5" t="s">
        <v>13</v>
      </c>
      <c r="B8" s="12" t="s">
        <v>14</v>
      </c>
      <c r="C8" s="21">
        <v>1</v>
      </c>
      <c r="D8" s="21">
        <v>0</v>
      </c>
      <c r="E8" s="21">
        <v>0</v>
      </c>
      <c r="F8" s="21">
        <v>0</v>
      </c>
      <c r="G8" s="21">
        <v>0</v>
      </c>
      <c r="H8" s="22">
        <f>46480.72+283.78</f>
        <v>46764.5</v>
      </c>
      <c r="I8" s="22">
        <v>0</v>
      </c>
      <c r="J8" s="22">
        <v>0</v>
      </c>
      <c r="K8" s="22">
        <v>0</v>
      </c>
      <c r="L8" s="22">
        <v>0</v>
      </c>
      <c r="M8" s="7">
        <f>SUM(H8:L8)</f>
        <v>46764.5</v>
      </c>
      <c r="N8" s="52">
        <v>30</v>
      </c>
      <c r="O8" s="9"/>
    </row>
    <row r="9" spans="1:15" ht="30" x14ac:dyDescent="0.25">
      <c r="A9" s="5" t="s">
        <v>15</v>
      </c>
      <c r="B9" s="12" t="s">
        <v>16</v>
      </c>
      <c r="C9" s="21">
        <v>1</v>
      </c>
      <c r="D9" s="21">
        <v>0</v>
      </c>
      <c r="E9" s="21">
        <v>0</v>
      </c>
      <c r="F9" s="21">
        <v>0</v>
      </c>
      <c r="G9" s="21">
        <v>0</v>
      </c>
      <c r="H9" s="22">
        <v>1114.4100000000001</v>
      </c>
      <c r="I9" s="22">
        <v>0</v>
      </c>
      <c r="J9" s="22">
        <v>0</v>
      </c>
      <c r="K9" s="22">
        <v>0</v>
      </c>
      <c r="L9" s="22">
        <v>0</v>
      </c>
      <c r="M9" s="7">
        <f>SUM(H9:L9)</f>
        <v>1114.4100000000001</v>
      </c>
      <c r="N9" s="53"/>
      <c r="O9" s="9"/>
    </row>
    <row r="10" spans="1:15" ht="30" x14ac:dyDescent="0.25">
      <c r="A10" s="5" t="s">
        <v>17</v>
      </c>
      <c r="B10" s="12" t="s">
        <v>18</v>
      </c>
      <c r="C10" s="21">
        <v>37</v>
      </c>
      <c r="D10" s="21">
        <v>0</v>
      </c>
      <c r="E10" s="21">
        <v>0</v>
      </c>
      <c r="F10" s="21">
        <v>0</v>
      </c>
      <c r="G10" s="21">
        <v>0</v>
      </c>
      <c r="H10" s="22">
        <f>756.25-283.78-283.77</f>
        <v>188.70000000000005</v>
      </c>
      <c r="I10" s="22">
        <v>0</v>
      </c>
      <c r="J10" s="22">
        <v>0</v>
      </c>
      <c r="K10" s="22">
        <v>0</v>
      </c>
      <c r="L10" s="22">
        <v>0</v>
      </c>
      <c r="M10" s="7">
        <f t="shared" ref="M10:M15" si="0">SUM(H10:L10)</f>
        <v>188.70000000000005</v>
      </c>
      <c r="N10" s="53"/>
      <c r="O10" s="9"/>
    </row>
    <row r="11" spans="1:15" x14ac:dyDescent="0.25">
      <c r="A11" s="27" t="s">
        <v>19</v>
      </c>
      <c r="B11" s="28" t="s">
        <v>20</v>
      </c>
      <c r="C11" s="46">
        <v>0</v>
      </c>
      <c r="D11" s="21">
        <f>150-20</f>
        <v>130</v>
      </c>
      <c r="E11" s="40">
        <v>0</v>
      </c>
      <c r="F11" s="40">
        <v>0</v>
      </c>
      <c r="G11" s="40">
        <v>0</v>
      </c>
      <c r="H11" s="22">
        <v>0</v>
      </c>
      <c r="I11" s="22">
        <v>0</v>
      </c>
      <c r="J11" s="22">
        <v>0</v>
      </c>
      <c r="K11" s="22">
        <v>0</v>
      </c>
      <c r="L11" s="22">
        <f>57304.72-1443.2</f>
        <v>55861.520000000004</v>
      </c>
      <c r="M11" s="7">
        <f t="shared" si="0"/>
        <v>55861.520000000004</v>
      </c>
      <c r="N11" s="53"/>
      <c r="O11" s="9"/>
    </row>
    <row r="12" spans="1:15" x14ac:dyDescent="0.25">
      <c r="A12" s="5" t="s">
        <v>21</v>
      </c>
      <c r="B12" s="12" t="s">
        <v>20</v>
      </c>
      <c r="C12" s="21">
        <v>0</v>
      </c>
      <c r="D12" s="21">
        <v>0</v>
      </c>
      <c r="E12" s="21">
        <v>25</v>
      </c>
      <c r="F12" s="21">
        <v>0</v>
      </c>
      <c r="G12" s="21">
        <v>25</v>
      </c>
      <c r="H12" s="22">
        <v>0</v>
      </c>
      <c r="I12" s="22">
        <v>12025</v>
      </c>
      <c r="J12" s="22">
        <f>12025-12025</f>
        <v>0</v>
      </c>
      <c r="K12" s="22">
        <v>6012</v>
      </c>
      <c r="L12" s="22">
        <v>0</v>
      </c>
      <c r="M12" s="7">
        <f t="shared" si="0"/>
        <v>18037</v>
      </c>
      <c r="N12" s="53"/>
      <c r="O12" s="9"/>
    </row>
    <row r="13" spans="1:15" ht="13.9" customHeight="1" x14ac:dyDescent="0.25">
      <c r="A13" s="5" t="s">
        <v>22</v>
      </c>
      <c r="B13" s="12" t="s">
        <v>20</v>
      </c>
      <c r="C13" s="47">
        <v>0</v>
      </c>
      <c r="D13" s="48">
        <f>150-20</f>
        <v>130</v>
      </c>
      <c r="E13" s="21">
        <v>50</v>
      </c>
      <c r="F13" s="40">
        <v>50</v>
      </c>
      <c r="G13" s="40">
        <f>50-20</f>
        <v>30</v>
      </c>
      <c r="H13" s="22">
        <v>0</v>
      </c>
      <c r="I13" s="22">
        <v>56654.400000000001</v>
      </c>
      <c r="J13" s="22">
        <f>56654.4+12025</f>
        <v>68679.399999999994</v>
      </c>
      <c r="K13" s="22">
        <v>33992.639999999999</v>
      </c>
      <c r="L13" s="22">
        <f>55690.8-1760-5665.44+0.01</f>
        <v>48265.37</v>
      </c>
      <c r="M13" s="7">
        <f t="shared" si="0"/>
        <v>207591.81</v>
      </c>
      <c r="N13" s="53"/>
      <c r="O13" s="9"/>
    </row>
    <row r="14" spans="1:15" x14ac:dyDescent="0.25">
      <c r="A14" s="5" t="s">
        <v>23</v>
      </c>
      <c r="B14" s="12" t="s">
        <v>24</v>
      </c>
      <c r="C14" s="21">
        <v>33</v>
      </c>
      <c r="D14" s="21">
        <v>0</v>
      </c>
      <c r="E14" s="21">
        <v>0</v>
      </c>
      <c r="F14" s="21">
        <v>0</v>
      </c>
      <c r="G14" s="21">
        <v>0</v>
      </c>
      <c r="H14" s="22">
        <v>27599.22</v>
      </c>
      <c r="I14" s="22">
        <v>0</v>
      </c>
      <c r="J14" s="22">
        <v>0</v>
      </c>
      <c r="K14" s="22">
        <v>0</v>
      </c>
      <c r="L14" s="22">
        <v>0</v>
      </c>
      <c r="M14" s="7">
        <f t="shared" si="0"/>
        <v>27599.22</v>
      </c>
      <c r="N14" s="53"/>
      <c r="O14" s="9"/>
    </row>
    <row r="15" spans="1:15" ht="30" x14ac:dyDescent="0.25">
      <c r="A15" s="5" t="s">
        <v>25</v>
      </c>
      <c r="B15" s="12" t="s">
        <v>26</v>
      </c>
      <c r="C15" s="21">
        <v>16</v>
      </c>
      <c r="D15" s="21">
        <v>0</v>
      </c>
      <c r="E15" s="21">
        <v>0</v>
      </c>
      <c r="F15" s="21">
        <v>0</v>
      </c>
      <c r="G15" s="21">
        <v>0</v>
      </c>
      <c r="H15" s="22">
        <v>11860.68</v>
      </c>
      <c r="I15" s="22">
        <v>0</v>
      </c>
      <c r="J15" s="22">
        <v>0</v>
      </c>
      <c r="K15" s="22">
        <v>0</v>
      </c>
      <c r="L15" s="22">
        <v>0</v>
      </c>
      <c r="M15" s="7">
        <f t="shared" si="0"/>
        <v>11860.68</v>
      </c>
      <c r="N15" s="53"/>
      <c r="O15" s="9"/>
    </row>
    <row r="16" spans="1:15" ht="30" x14ac:dyDescent="0.25">
      <c r="A16" s="5" t="s">
        <v>27</v>
      </c>
      <c r="B16" s="12" t="s">
        <v>28</v>
      </c>
      <c r="C16" s="21">
        <v>80</v>
      </c>
      <c r="D16" s="21">
        <v>0</v>
      </c>
      <c r="E16" s="21">
        <v>0</v>
      </c>
      <c r="F16" s="21">
        <v>0</v>
      </c>
      <c r="G16" s="21">
        <v>0</v>
      </c>
      <c r="H16" s="22">
        <v>238930.49</v>
      </c>
      <c r="I16" s="22">
        <v>0</v>
      </c>
      <c r="J16" s="22">
        <v>0</v>
      </c>
      <c r="K16" s="22">
        <v>0</v>
      </c>
      <c r="L16" s="22">
        <v>0</v>
      </c>
      <c r="M16" s="7">
        <f>SUM(H16:L16)</f>
        <v>238930.49</v>
      </c>
      <c r="N16" s="54"/>
      <c r="O16" s="9"/>
    </row>
    <row r="17" spans="1:15" x14ac:dyDescent="0.25">
      <c r="A17" s="65" t="s">
        <v>6</v>
      </c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7"/>
      <c r="M17" s="8">
        <f>+M8+M9+M10+M11+M12+M13+M14+M15+M16</f>
        <v>607948.33000000007</v>
      </c>
      <c r="N17" s="8"/>
      <c r="O17" s="9"/>
    </row>
    <row r="19" spans="1:15" x14ac:dyDescent="0.25">
      <c r="B19" s="9"/>
      <c r="G19" s="29"/>
      <c r="H19" s="30"/>
      <c r="I19" s="31"/>
      <c r="L19" s="9"/>
      <c r="M19" s="9"/>
    </row>
    <row r="20" spans="1:15" x14ac:dyDescent="0.25">
      <c r="G20" s="32"/>
      <c r="H20" s="33"/>
      <c r="I20" s="34"/>
      <c r="M20" s="9"/>
    </row>
    <row r="21" spans="1:15" x14ac:dyDescent="0.25">
      <c r="G21" s="35"/>
      <c r="H21" s="36"/>
      <c r="I21" s="37"/>
      <c r="M21" s="9"/>
    </row>
    <row r="22" spans="1:15" x14ac:dyDescent="0.25">
      <c r="F22" s="9"/>
    </row>
    <row r="23" spans="1:15" x14ac:dyDescent="0.25">
      <c r="M23" s="9"/>
    </row>
  </sheetData>
  <mergeCells count="10">
    <mergeCell ref="N8:N16"/>
    <mergeCell ref="A17:L17"/>
    <mergeCell ref="M1:N2"/>
    <mergeCell ref="A4:N4"/>
    <mergeCell ref="A6:A7"/>
    <mergeCell ref="B6:B7"/>
    <mergeCell ref="C6:G6"/>
    <mergeCell ref="H6:L6"/>
    <mergeCell ref="M6:M7"/>
    <mergeCell ref="N6:N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7B6F7-FE40-49B5-A8AA-EE9526451C4B}">
  <dimension ref="A1:P21"/>
  <sheetViews>
    <sheetView topLeftCell="A7" zoomScale="90" zoomScaleNormal="90" workbookViewId="0">
      <selection activeCell="D21" sqref="D21:E22"/>
    </sheetView>
  </sheetViews>
  <sheetFormatPr defaultColWidth="9.140625" defaultRowHeight="15" x14ac:dyDescent="0.25"/>
  <cols>
    <col min="1" max="1" width="32.140625" style="1" customWidth="1"/>
    <col min="2" max="2" width="9.42578125" style="1" customWidth="1"/>
    <col min="3" max="3" width="10.140625" style="1" customWidth="1"/>
    <col min="4" max="4" width="11.42578125" style="1" customWidth="1"/>
    <col min="5" max="5" width="12.140625" style="1" customWidth="1"/>
    <col min="6" max="8" width="9.42578125" style="1" customWidth="1"/>
    <col min="9" max="15" width="13.28515625" style="1" customWidth="1"/>
    <col min="16" max="16" width="13.5703125" style="1" customWidth="1"/>
    <col min="17" max="16384" width="9.140625" style="1"/>
  </cols>
  <sheetData>
    <row r="1" spans="1:16" ht="15" customHeight="1" x14ac:dyDescent="0.25">
      <c r="O1" s="58" t="s">
        <v>0</v>
      </c>
      <c r="P1" s="58"/>
    </row>
    <row r="2" spans="1:16" ht="47.25" customHeight="1" x14ac:dyDescent="0.25">
      <c r="O2" s="58"/>
      <c r="P2" s="58"/>
    </row>
    <row r="3" spans="1:16" x14ac:dyDescent="0.25">
      <c r="O3" s="2"/>
      <c r="P3" s="2"/>
    </row>
    <row r="4" spans="1:16" x14ac:dyDescent="0.25">
      <c r="A4" s="59" t="s">
        <v>1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</row>
    <row r="5" spans="1:16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x14ac:dyDescent="0.25">
      <c r="A6" s="60" t="s">
        <v>2</v>
      </c>
      <c r="B6" s="60" t="s">
        <v>3</v>
      </c>
      <c r="C6" s="61" t="s">
        <v>4</v>
      </c>
      <c r="D6" s="62"/>
      <c r="E6" s="62"/>
      <c r="F6" s="62"/>
      <c r="G6" s="62"/>
      <c r="H6" s="63"/>
      <c r="I6" s="64" t="s">
        <v>5</v>
      </c>
      <c r="J6" s="64"/>
      <c r="K6" s="64"/>
      <c r="L6" s="64"/>
      <c r="M6" s="64"/>
      <c r="N6" s="64"/>
      <c r="O6" s="60" t="s">
        <v>6</v>
      </c>
      <c r="P6" s="60" t="s">
        <v>7</v>
      </c>
    </row>
    <row r="7" spans="1:16" ht="90" x14ac:dyDescent="0.25">
      <c r="A7" s="60"/>
      <c r="B7" s="60"/>
      <c r="C7" s="4" t="s">
        <v>8</v>
      </c>
      <c r="D7" s="4" t="s">
        <v>34</v>
      </c>
      <c r="E7" s="4" t="s">
        <v>35</v>
      </c>
      <c r="F7" s="4" t="s">
        <v>11</v>
      </c>
      <c r="G7" s="4" t="s">
        <v>10</v>
      </c>
      <c r="H7" s="4" t="s">
        <v>12</v>
      </c>
      <c r="I7" s="4" t="s">
        <v>8</v>
      </c>
      <c r="J7" s="4" t="s">
        <v>35</v>
      </c>
      <c r="K7" s="4" t="s">
        <v>11</v>
      </c>
      <c r="L7" s="4" t="s">
        <v>10</v>
      </c>
      <c r="M7" s="4" t="s">
        <v>12</v>
      </c>
      <c r="N7" s="4" t="s">
        <v>34</v>
      </c>
      <c r="O7" s="60"/>
      <c r="P7" s="60"/>
    </row>
    <row r="8" spans="1:16" ht="45" x14ac:dyDescent="0.25">
      <c r="A8" s="5" t="s">
        <v>13</v>
      </c>
      <c r="B8" s="12" t="s">
        <v>14</v>
      </c>
      <c r="C8" s="12">
        <v>1</v>
      </c>
      <c r="D8" s="12">
        <v>0</v>
      </c>
      <c r="E8" s="23">
        <v>0</v>
      </c>
      <c r="F8" s="23">
        <v>0</v>
      </c>
      <c r="G8" s="23">
        <v>0</v>
      </c>
      <c r="H8" s="23">
        <v>0</v>
      </c>
      <c r="I8" s="24">
        <f>46480.72+283.78</f>
        <v>46764.5</v>
      </c>
      <c r="J8" s="24">
        <v>0</v>
      </c>
      <c r="K8" s="24">
        <v>0</v>
      </c>
      <c r="L8" s="24">
        <v>0</v>
      </c>
      <c r="M8" s="24">
        <v>0</v>
      </c>
      <c r="N8" s="13">
        <v>0</v>
      </c>
      <c r="O8" s="13">
        <f>SUM(I8:N8)</f>
        <v>46764.5</v>
      </c>
      <c r="P8" s="69">
        <v>30</v>
      </c>
    </row>
    <row r="9" spans="1:16" ht="30" x14ac:dyDescent="0.25">
      <c r="A9" s="5" t="s">
        <v>15</v>
      </c>
      <c r="B9" s="12" t="s">
        <v>16</v>
      </c>
      <c r="C9" s="12">
        <v>1</v>
      </c>
      <c r="D9" s="12">
        <v>0</v>
      </c>
      <c r="E9" s="23">
        <v>0</v>
      </c>
      <c r="F9" s="23">
        <v>0</v>
      </c>
      <c r="G9" s="23">
        <v>0</v>
      </c>
      <c r="H9" s="23">
        <v>0</v>
      </c>
      <c r="I9" s="24">
        <v>1114.4100000000001</v>
      </c>
      <c r="J9" s="24">
        <v>0</v>
      </c>
      <c r="K9" s="24">
        <v>0</v>
      </c>
      <c r="L9" s="24">
        <v>0</v>
      </c>
      <c r="M9" s="24">
        <v>0</v>
      </c>
      <c r="N9" s="13">
        <v>0</v>
      </c>
      <c r="O9" s="13">
        <f>SUM(I9:N9)</f>
        <v>1114.4100000000001</v>
      </c>
      <c r="P9" s="69"/>
    </row>
    <row r="10" spans="1:16" ht="30" x14ac:dyDescent="0.25">
      <c r="A10" s="5" t="s">
        <v>17</v>
      </c>
      <c r="B10" s="12" t="s">
        <v>18</v>
      </c>
      <c r="C10" s="12">
        <v>38</v>
      </c>
      <c r="D10" s="12">
        <v>0</v>
      </c>
      <c r="E10" s="23">
        <v>0</v>
      </c>
      <c r="F10" s="23">
        <v>0</v>
      </c>
      <c r="G10" s="23">
        <v>0</v>
      </c>
      <c r="H10" s="23">
        <v>0</v>
      </c>
      <c r="I10" s="24">
        <f>756.25-283.78-283.77</f>
        <v>188.70000000000005</v>
      </c>
      <c r="J10" s="24">
        <v>0</v>
      </c>
      <c r="K10" s="24">
        <v>0</v>
      </c>
      <c r="L10" s="24">
        <v>0</v>
      </c>
      <c r="M10" s="24">
        <v>0</v>
      </c>
      <c r="N10" s="13">
        <v>0</v>
      </c>
      <c r="O10" s="13">
        <f t="shared" ref="O10:O17" si="0">SUM(I10:N10)</f>
        <v>188.70000000000005</v>
      </c>
      <c r="P10" s="69"/>
    </row>
    <row r="11" spans="1:16" ht="30" x14ac:dyDescent="0.25">
      <c r="A11" s="5" t="s">
        <v>43</v>
      </c>
      <c r="B11" s="12" t="s">
        <v>40</v>
      </c>
      <c r="C11" s="12">
        <v>0</v>
      </c>
      <c r="D11" s="12">
        <v>0</v>
      </c>
      <c r="E11" s="23">
        <v>1</v>
      </c>
      <c r="F11" s="23">
        <v>0</v>
      </c>
      <c r="G11" s="23">
        <v>0</v>
      </c>
      <c r="H11" s="23">
        <v>0</v>
      </c>
      <c r="I11" s="24">
        <v>0</v>
      </c>
      <c r="J11" s="24">
        <f>1500+750.2</f>
        <v>2250.1999999999998</v>
      </c>
      <c r="K11" s="24">
        <v>0</v>
      </c>
      <c r="L11" s="24">
        <v>0</v>
      </c>
      <c r="M11" s="24">
        <v>780.76</v>
      </c>
      <c r="N11" s="13">
        <v>0</v>
      </c>
      <c r="O11" s="13">
        <f>SUM(J11:N11)</f>
        <v>3030.96</v>
      </c>
      <c r="P11" s="69"/>
    </row>
    <row r="12" spans="1:16" x14ac:dyDescent="0.25">
      <c r="A12" s="5" t="s">
        <v>19</v>
      </c>
      <c r="B12" s="12" t="s">
        <v>20</v>
      </c>
      <c r="C12" s="12">
        <v>0</v>
      </c>
      <c r="D12" s="50">
        <f>150-9-4-1</f>
        <v>136</v>
      </c>
      <c r="E12" s="23">
        <v>0</v>
      </c>
      <c r="F12" s="23">
        <v>0</v>
      </c>
      <c r="G12" s="23">
        <v>0</v>
      </c>
      <c r="H12" s="23">
        <v>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13">
        <f>57304.72-649.44-288.64-352</f>
        <v>56014.64</v>
      </c>
      <c r="O12" s="13">
        <f t="shared" si="0"/>
        <v>56014.64</v>
      </c>
      <c r="P12" s="69"/>
    </row>
    <row r="13" spans="1:16" x14ac:dyDescent="0.25">
      <c r="A13" s="5" t="s">
        <v>21</v>
      </c>
      <c r="B13" s="12" t="s">
        <v>20</v>
      </c>
      <c r="C13" s="12">
        <v>0</v>
      </c>
      <c r="D13" s="12">
        <v>0</v>
      </c>
      <c r="E13" s="23">
        <v>25</v>
      </c>
      <c r="F13" s="23">
        <v>0</v>
      </c>
      <c r="G13" s="23">
        <v>25</v>
      </c>
      <c r="H13" s="23">
        <f>37-4</f>
        <v>33</v>
      </c>
      <c r="I13" s="24">
        <v>0</v>
      </c>
      <c r="J13" s="24">
        <f>12025-10000</f>
        <v>2025</v>
      </c>
      <c r="K13" s="24">
        <f>12025-2025-10000</f>
        <v>0</v>
      </c>
      <c r="L13" s="24">
        <f>12025-2025-6000</f>
        <v>4000</v>
      </c>
      <c r="M13" s="24">
        <v>17530.36</v>
      </c>
      <c r="N13" s="13">
        <v>0</v>
      </c>
      <c r="O13" s="13">
        <f t="shared" si="0"/>
        <v>23555.360000000001</v>
      </c>
      <c r="P13" s="69"/>
    </row>
    <row r="14" spans="1:16" ht="30" x14ac:dyDescent="0.25">
      <c r="A14" s="5" t="s">
        <v>22</v>
      </c>
      <c r="B14" s="12" t="s">
        <v>20</v>
      </c>
      <c r="C14" s="12">
        <v>0</v>
      </c>
      <c r="D14" s="50">
        <f>150-9-4-1</f>
        <v>136</v>
      </c>
      <c r="E14" s="23">
        <v>37</v>
      </c>
      <c r="F14" s="23">
        <f>38-9</f>
        <v>29</v>
      </c>
      <c r="G14" s="23">
        <f>37</f>
        <v>37</v>
      </c>
      <c r="H14" s="23">
        <v>0</v>
      </c>
      <c r="I14" s="24">
        <v>0</v>
      </c>
      <c r="J14" s="24">
        <f>41924.26-1500-750.2+10000</f>
        <v>49674.060000000005</v>
      </c>
      <c r="K14" s="24">
        <f>43057.34-11330.88+2025</f>
        <v>33751.46</v>
      </c>
      <c r="L14" s="24">
        <f>43057.34+6000-11330.9</f>
        <v>37726.439999999995</v>
      </c>
      <c r="M14" s="24">
        <v>34119.47</v>
      </c>
      <c r="N14" s="13">
        <f>55690.8-792-2549.45-1133.09+0.01</f>
        <v>51216.270000000011</v>
      </c>
      <c r="O14" s="13">
        <f t="shared" si="0"/>
        <v>206487.7</v>
      </c>
      <c r="P14" s="69"/>
    </row>
    <row r="15" spans="1:16" x14ac:dyDescent="0.25">
      <c r="A15" s="5" t="s">
        <v>23</v>
      </c>
      <c r="B15" s="12" t="s">
        <v>24</v>
      </c>
      <c r="C15" s="12">
        <v>33</v>
      </c>
      <c r="D15" s="12">
        <v>0</v>
      </c>
      <c r="E15" s="23">
        <v>0</v>
      </c>
      <c r="F15" s="23">
        <v>0</v>
      </c>
      <c r="G15" s="23">
        <v>0</v>
      </c>
      <c r="H15" s="23">
        <v>0</v>
      </c>
      <c r="I15" s="24">
        <v>27599.22</v>
      </c>
      <c r="J15" s="24">
        <v>0</v>
      </c>
      <c r="K15" s="24">
        <v>0</v>
      </c>
      <c r="L15" s="24">
        <v>0</v>
      </c>
      <c r="M15" s="24">
        <v>0</v>
      </c>
      <c r="N15" s="13">
        <v>0</v>
      </c>
      <c r="O15" s="13">
        <f t="shared" si="0"/>
        <v>27599.22</v>
      </c>
      <c r="P15" s="69"/>
    </row>
    <row r="16" spans="1:16" ht="30" x14ac:dyDescent="0.25">
      <c r="A16" s="5" t="s">
        <v>25</v>
      </c>
      <c r="B16" s="12" t="s">
        <v>26</v>
      </c>
      <c r="C16" s="12">
        <v>17</v>
      </c>
      <c r="D16" s="12">
        <v>0</v>
      </c>
      <c r="E16" s="23">
        <v>0</v>
      </c>
      <c r="F16" s="23">
        <v>0</v>
      </c>
      <c r="G16" s="23">
        <v>0</v>
      </c>
      <c r="H16" s="23">
        <v>0</v>
      </c>
      <c r="I16" s="24">
        <v>12601.97</v>
      </c>
      <c r="J16" s="24">
        <v>0</v>
      </c>
      <c r="K16" s="24">
        <v>0</v>
      </c>
      <c r="L16" s="24">
        <v>0</v>
      </c>
      <c r="M16" s="24">
        <v>0</v>
      </c>
      <c r="N16" s="13">
        <v>0</v>
      </c>
      <c r="O16" s="13">
        <f t="shared" si="0"/>
        <v>12601.97</v>
      </c>
      <c r="P16" s="69"/>
    </row>
    <row r="17" spans="1:16" ht="30" x14ac:dyDescent="0.25">
      <c r="A17" s="5" t="s">
        <v>27</v>
      </c>
      <c r="B17" s="12" t="s">
        <v>28</v>
      </c>
      <c r="C17" s="12">
        <v>80</v>
      </c>
      <c r="D17" s="12">
        <v>0</v>
      </c>
      <c r="E17" s="23">
        <v>0</v>
      </c>
      <c r="F17" s="23">
        <v>0</v>
      </c>
      <c r="G17" s="23">
        <v>0</v>
      </c>
      <c r="H17" s="23">
        <v>0</v>
      </c>
      <c r="I17" s="24">
        <v>238930.45</v>
      </c>
      <c r="J17" s="24">
        <v>0</v>
      </c>
      <c r="K17" s="24">
        <v>0</v>
      </c>
      <c r="L17" s="24">
        <v>0</v>
      </c>
      <c r="M17" s="24">
        <v>0</v>
      </c>
      <c r="N17" s="13">
        <v>0</v>
      </c>
      <c r="O17" s="13">
        <f t="shared" si="0"/>
        <v>238930.45</v>
      </c>
      <c r="P17" s="69"/>
    </row>
    <row r="18" spans="1:16" x14ac:dyDescent="0.25">
      <c r="A18" s="65" t="s">
        <v>6</v>
      </c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7"/>
      <c r="O18" s="8">
        <f>+O8+O9+O10+O11+O12+O13+O14+O15+O16+O17</f>
        <v>616287.90999999992</v>
      </c>
      <c r="P18" s="8"/>
    </row>
    <row r="20" spans="1:16" x14ac:dyDescent="0.25">
      <c r="B20" s="9"/>
    </row>
    <row r="21" spans="1:16" x14ac:dyDescent="0.25">
      <c r="I21" s="10"/>
      <c r="N21" s="9"/>
      <c r="O21" s="9"/>
    </row>
  </sheetData>
  <mergeCells count="10">
    <mergeCell ref="P8:P17"/>
    <mergeCell ref="A18:N18"/>
    <mergeCell ref="O1:P2"/>
    <mergeCell ref="A4:P4"/>
    <mergeCell ref="A6:A7"/>
    <mergeCell ref="B6:B7"/>
    <mergeCell ref="C6:H6"/>
    <mergeCell ref="I6:N6"/>
    <mergeCell ref="O6:O7"/>
    <mergeCell ref="P6:P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142BF-C815-4BDC-B486-BE3264804DDC}">
  <dimension ref="A1:P21"/>
  <sheetViews>
    <sheetView topLeftCell="A7" workbookViewId="0">
      <selection activeCell="D20" sqref="D20:E20"/>
    </sheetView>
  </sheetViews>
  <sheetFormatPr defaultColWidth="9.140625" defaultRowHeight="15" x14ac:dyDescent="0.25"/>
  <cols>
    <col min="1" max="1" width="32.140625" style="1" customWidth="1"/>
    <col min="2" max="2" width="9.140625" style="1"/>
    <col min="3" max="3" width="10.42578125" style="1" customWidth="1"/>
    <col min="4" max="4" width="11.7109375" style="1" customWidth="1"/>
    <col min="5" max="5" width="12.5703125" style="1" customWidth="1"/>
    <col min="6" max="6" width="9.28515625" style="1" customWidth="1"/>
    <col min="7" max="7" width="11" style="1" customWidth="1"/>
    <col min="8" max="8" width="9.28515625" style="1" customWidth="1"/>
    <col min="9" max="15" width="13.28515625" style="1" customWidth="1"/>
    <col min="16" max="16" width="15.28515625" style="1" customWidth="1"/>
    <col min="17" max="16384" width="9.140625" style="1"/>
  </cols>
  <sheetData>
    <row r="1" spans="1:16" ht="56.25" customHeight="1" x14ac:dyDescent="0.25">
      <c r="O1" s="70" t="s">
        <v>29</v>
      </c>
      <c r="P1" s="71"/>
    </row>
    <row r="2" spans="1:16" x14ac:dyDescent="0.25">
      <c r="O2" s="2"/>
      <c r="P2" s="2"/>
    </row>
    <row r="3" spans="1:16" x14ac:dyDescent="0.25">
      <c r="O3" s="2"/>
      <c r="P3" s="2"/>
    </row>
    <row r="4" spans="1:16" x14ac:dyDescent="0.25">
      <c r="A4" s="59" t="s">
        <v>1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</row>
    <row r="5" spans="1:16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s="11" customFormat="1" x14ac:dyDescent="0.25">
      <c r="A6" s="68" t="s">
        <v>2</v>
      </c>
      <c r="B6" s="60" t="s">
        <v>3</v>
      </c>
      <c r="C6" s="61" t="s">
        <v>4</v>
      </c>
      <c r="D6" s="62"/>
      <c r="E6" s="62"/>
      <c r="F6" s="62"/>
      <c r="G6" s="62"/>
      <c r="H6" s="63"/>
      <c r="I6" s="64" t="s">
        <v>5</v>
      </c>
      <c r="J6" s="64"/>
      <c r="K6" s="64"/>
      <c r="L6" s="64"/>
      <c r="M6" s="64"/>
      <c r="N6" s="64"/>
      <c r="O6" s="60" t="s">
        <v>6</v>
      </c>
      <c r="P6" s="60" t="s">
        <v>7</v>
      </c>
    </row>
    <row r="7" spans="1:16" s="11" customFormat="1" ht="90" x14ac:dyDescent="0.25">
      <c r="A7" s="68"/>
      <c r="B7" s="60"/>
      <c r="C7" s="4" t="s">
        <v>8</v>
      </c>
      <c r="D7" s="4" t="s">
        <v>30</v>
      </c>
      <c r="E7" s="4" t="s">
        <v>31</v>
      </c>
      <c r="F7" s="4" t="s">
        <v>11</v>
      </c>
      <c r="G7" s="4" t="s">
        <v>32</v>
      </c>
      <c r="H7" s="4" t="s">
        <v>33</v>
      </c>
      <c r="I7" s="4" t="s">
        <v>8</v>
      </c>
      <c r="J7" s="4" t="s">
        <v>31</v>
      </c>
      <c r="K7" s="4" t="s">
        <v>11</v>
      </c>
      <c r="L7" s="4" t="s">
        <v>32</v>
      </c>
      <c r="M7" s="4" t="s">
        <v>33</v>
      </c>
      <c r="N7" s="4" t="s">
        <v>30</v>
      </c>
      <c r="O7" s="60"/>
      <c r="P7" s="60"/>
    </row>
    <row r="8" spans="1:16" ht="45" x14ac:dyDescent="0.25">
      <c r="A8" s="5" t="s">
        <v>13</v>
      </c>
      <c r="B8" s="12" t="s">
        <v>14</v>
      </c>
      <c r="C8" s="12">
        <v>0</v>
      </c>
      <c r="D8" s="12">
        <v>1</v>
      </c>
      <c r="E8" s="23">
        <v>0</v>
      </c>
      <c r="F8" s="23">
        <v>0</v>
      </c>
      <c r="G8" s="23">
        <v>0</v>
      </c>
      <c r="H8" s="23">
        <v>0</v>
      </c>
      <c r="I8" s="24">
        <v>0</v>
      </c>
      <c r="J8" s="24">
        <v>0</v>
      </c>
      <c r="K8" s="24">
        <v>0</v>
      </c>
      <c r="L8" s="24">
        <v>0</v>
      </c>
      <c r="M8" s="24">
        <v>0</v>
      </c>
      <c r="N8" s="24">
        <v>46480.72</v>
      </c>
      <c r="O8" s="13">
        <f>SUM(J8:N8)</f>
        <v>46480.72</v>
      </c>
      <c r="P8" s="69">
        <v>30</v>
      </c>
    </row>
    <row r="9" spans="1:16" ht="30" x14ac:dyDescent="0.25">
      <c r="A9" s="5" t="s">
        <v>15</v>
      </c>
      <c r="B9" s="12" t="s">
        <v>16</v>
      </c>
      <c r="C9" s="12">
        <v>1</v>
      </c>
      <c r="D9" s="12">
        <v>0</v>
      </c>
      <c r="E9" s="23">
        <v>0</v>
      </c>
      <c r="F9" s="23">
        <v>0</v>
      </c>
      <c r="G9" s="23">
        <v>0</v>
      </c>
      <c r="H9" s="23">
        <v>0</v>
      </c>
      <c r="I9" s="24">
        <v>1114.4100000000001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13">
        <f>SUM(I9:N9)</f>
        <v>1114.4100000000001</v>
      </c>
      <c r="P9" s="69"/>
    </row>
    <row r="10" spans="1:16" ht="30" x14ac:dyDescent="0.25">
      <c r="A10" s="5" t="s">
        <v>17</v>
      </c>
      <c r="B10" s="12" t="s">
        <v>18</v>
      </c>
      <c r="C10" s="12">
        <v>0</v>
      </c>
      <c r="D10" s="12">
        <v>38</v>
      </c>
      <c r="E10" s="23">
        <v>0</v>
      </c>
      <c r="F10" s="23">
        <v>0</v>
      </c>
      <c r="G10" s="23">
        <v>0</v>
      </c>
      <c r="H10" s="23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756.25</v>
      </c>
      <c r="O10" s="13">
        <f t="shared" ref="O10:O17" si="0">SUM(I10:N10)</f>
        <v>756.25</v>
      </c>
      <c r="P10" s="69"/>
    </row>
    <row r="11" spans="1:16" ht="30" x14ac:dyDescent="0.25">
      <c r="A11" s="5" t="s">
        <v>41</v>
      </c>
      <c r="B11" s="12" t="s">
        <v>40</v>
      </c>
      <c r="C11" s="12">
        <v>0</v>
      </c>
      <c r="D11" s="12">
        <v>0</v>
      </c>
      <c r="E11" s="23">
        <v>0</v>
      </c>
      <c r="F11" s="23">
        <v>0</v>
      </c>
      <c r="G11" s="23">
        <v>0</v>
      </c>
      <c r="H11" s="23">
        <v>0</v>
      </c>
      <c r="I11" s="24">
        <v>0</v>
      </c>
      <c r="J11" s="24">
        <v>1171.1500000000001</v>
      </c>
      <c r="K11" s="24">
        <v>0</v>
      </c>
      <c r="L11" s="24">
        <v>0</v>
      </c>
      <c r="M11" s="24">
        <v>0</v>
      </c>
      <c r="N11" s="24">
        <v>0</v>
      </c>
      <c r="O11" s="13">
        <f>SUM(J11:N11)</f>
        <v>1171.1500000000001</v>
      </c>
      <c r="P11" s="69"/>
    </row>
    <row r="12" spans="1:16" x14ac:dyDescent="0.25">
      <c r="A12" s="5" t="s">
        <v>19</v>
      </c>
      <c r="B12" s="12" t="s">
        <v>20</v>
      </c>
      <c r="C12" s="12">
        <v>150</v>
      </c>
      <c r="D12" s="12">
        <v>0</v>
      </c>
      <c r="E12" s="23">
        <v>0</v>
      </c>
      <c r="F12" s="23">
        <v>0</v>
      </c>
      <c r="G12" s="23">
        <v>0</v>
      </c>
      <c r="H12" s="23">
        <v>0</v>
      </c>
      <c r="I12" s="24">
        <f>57304.72+283.77</f>
        <v>57588.49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  <c r="O12" s="13">
        <f>SUM(I12:M12)</f>
        <v>57588.49</v>
      </c>
      <c r="P12" s="69"/>
    </row>
    <row r="13" spans="1:16" x14ac:dyDescent="0.25">
      <c r="A13" s="5" t="s">
        <v>21</v>
      </c>
      <c r="B13" s="12" t="s">
        <v>20</v>
      </c>
      <c r="C13" s="12">
        <v>0</v>
      </c>
      <c r="D13" s="12">
        <v>0</v>
      </c>
      <c r="E13" s="23">
        <v>0</v>
      </c>
      <c r="F13" s="23">
        <v>0</v>
      </c>
      <c r="G13" s="23">
        <v>25</v>
      </c>
      <c r="H13" s="23">
        <v>25</v>
      </c>
      <c r="I13" s="24">
        <v>0</v>
      </c>
      <c r="J13" s="24">
        <v>0</v>
      </c>
      <c r="K13" s="24">
        <f>12025-12025</f>
        <v>0</v>
      </c>
      <c r="L13" s="24">
        <v>12025</v>
      </c>
      <c r="M13" s="24">
        <f>12025-6000</f>
        <v>6025</v>
      </c>
      <c r="N13" s="24">
        <v>0</v>
      </c>
      <c r="O13" s="13">
        <f t="shared" si="0"/>
        <v>18050</v>
      </c>
      <c r="P13" s="69"/>
    </row>
    <row r="14" spans="1:16" ht="30" x14ac:dyDescent="0.25">
      <c r="A14" s="5" t="s">
        <v>22</v>
      </c>
      <c r="B14" s="12" t="s">
        <v>20</v>
      </c>
      <c r="C14" s="12">
        <v>0</v>
      </c>
      <c r="D14" s="50">
        <f>150-9+1</f>
        <v>142</v>
      </c>
      <c r="E14" s="23">
        <v>37</v>
      </c>
      <c r="F14" s="49">
        <f>38-1</f>
        <v>37</v>
      </c>
      <c r="G14" s="23">
        <f>37-9</f>
        <v>28</v>
      </c>
      <c r="H14" s="23">
        <f>37+2</f>
        <v>39</v>
      </c>
      <c r="I14" s="24">
        <v>13200</v>
      </c>
      <c r="J14" s="24">
        <f>41924.26-J11+12025</f>
        <v>52778.11</v>
      </c>
      <c r="K14" s="24">
        <f>43057.34+10000+10000+12025</f>
        <v>75082.34</v>
      </c>
      <c r="L14" s="24">
        <f>43057.34-11330.88</f>
        <v>31726.46</v>
      </c>
      <c r="M14" s="24">
        <f>41924.26+6000</f>
        <v>47924.26</v>
      </c>
      <c r="N14" s="24">
        <f>42490.8-2549.45+0.01</f>
        <v>39941.360000000008</v>
      </c>
      <c r="O14" s="13">
        <f t="shared" si="0"/>
        <v>260652.53000000003</v>
      </c>
      <c r="P14" s="69"/>
    </row>
    <row r="15" spans="1:16" x14ac:dyDescent="0.25">
      <c r="A15" s="5" t="s">
        <v>23</v>
      </c>
      <c r="B15" s="12" t="s">
        <v>24</v>
      </c>
      <c r="C15" s="12">
        <v>34</v>
      </c>
      <c r="D15" s="12">
        <v>0</v>
      </c>
      <c r="E15" s="23">
        <v>0</v>
      </c>
      <c r="F15" s="23">
        <v>0</v>
      </c>
      <c r="G15" s="23">
        <v>0</v>
      </c>
      <c r="H15" s="23">
        <v>0</v>
      </c>
      <c r="I15" s="24">
        <v>28435.56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13">
        <f t="shared" si="0"/>
        <v>28435.56</v>
      </c>
      <c r="P15" s="69"/>
    </row>
    <row r="16" spans="1:16" ht="30" x14ac:dyDescent="0.25">
      <c r="A16" s="5" t="s">
        <v>25</v>
      </c>
      <c r="B16" s="12" t="s">
        <v>26</v>
      </c>
      <c r="C16" s="12">
        <v>17</v>
      </c>
      <c r="D16" s="12">
        <v>0</v>
      </c>
      <c r="E16" s="23">
        <v>0</v>
      </c>
      <c r="F16" s="23">
        <v>0</v>
      </c>
      <c r="G16" s="23">
        <v>0</v>
      </c>
      <c r="H16" s="23">
        <v>0</v>
      </c>
      <c r="I16" s="24">
        <v>12601.98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13">
        <f t="shared" si="0"/>
        <v>12601.98</v>
      </c>
      <c r="P16" s="69"/>
    </row>
    <row r="17" spans="1:16" ht="30" x14ac:dyDescent="0.25">
      <c r="A17" s="5" t="s">
        <v>27</v>
      </c>
      <c r="B17" s="12" t="s">
        <v>28</v>
      </c>
      <c r="C17" s="12">
        <v>80</v>
      </c>
      <c r="D17" s="12">
        <v>0</v>
      </c>
      <c r="E17" s="23">
        <v>0</v>
      </c>
      <c r="F17" s="23">
        <v>0</v>
      </c>
      <c r="G17" s="23">
        <v>0</v>
      </c>
      <c r="H17" s="23">
        <v>0</v>
      </c>
      <c r="I17" s="24">
        <v>238930.49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13">
        <f t="shared" si="0"/>
        <v>238930.49</v>
      </c>
      <c r="P17" s="69"/>
    </row>
    <row r="18" spans="1:16" x14ac:dyDescent="0.25">
      <c r="A18" s="65" t="s">
        <v>6</v>
      </c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7"/>
      <c r="O18" s="14">
        <f>+O8+O9+O10+O11+O12+O13+O14+O15+O16+O17</f>
        <v>665781.58000000007</v>
      </c>
      <c r="P18" s="8"/>
    </row>
    <row r="20" spans="1:16" x14ac:dyDescent="0.25">
      <c r="B20" s="9"/>
    </row>
    <row r="21" spans="1:16" x14ac:dyDescent="0.25">
      <c r="I21" s="10"/>
      <c r="O21" s="9"/>
    </row>
  </sheetData>
  <mergeCells count="10">
    <mergeCell ref="P8:P17"/>
    <mergeCell ref="A18:N18"/>
    <mergeCell ref="O1:P1"/>
    <mergeCell ref="A4:P4"/>
    <mergeCell ref="A6:A7"/>
    <mergeCell ref="B6:B7"/>
    <mergeCell ref="C6:H6"/>
    <mergeCell ref="I6:N6"/>
    <mergeCell ref="O6:O7"/>
    <mergeCell ref="P6:P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9AA35-B37C-495F-9B8E-64DCA60C01E2}">
  <dimension ref="A1:N22"/>
  <sheetViews>
    <sheetView tabSelected="1" workbookViewId="0">
      <selection activeCell="F22" sqref="F22"/>
    </sheetView>
  </sheetViews>
  <sheetFormatPr defaultColWidth="9.140625" defaultRowHeight="15" x14ac:dyDescent="0.25"/>
  <cols>
    <col min="1" max="1" width="32.42578125" style="1" customWidth="1"/>
    <col min="2" max="3" width="10.28515625" style="1" customWidth="1"/>
    <col min="4" max="4" width="11.42578125" style="1" bestFit="1" customWidth="1"/>
    <col min="5" max="5" width="13.28515625" style="1" bestFit="1" customWidth="1"/>
    <col min="6" max="6" width="11.5703125" style="1" customWidth="1"/>
    <col min="7" max="7" width="10.5703125" style="1" customWidth="1"/>
    <col min="8" max="13" width="15.7109375" style="1" customWidth="1"/>
    <col min="14" max="14" width="16.85546875" style="1" customWidth="1"/>
    <col min="15" max="16384" width="9.140625" style="1"/>
  </cols>
  <sheetData>
    <row r="1" spans="1:14" ht="12" customHeight="1" x14ac:dyDescent="0.25">
      <c r="M1" s="58" t="s">
        <v>0</v>
      </c>
      <c r="N1" s="58"/>
    </row>
    <row r="2" spans="1:14" ht="36" customHeight="1" x14ac:dyDescent="0.25">
      <c r="M2" s="58"/>
      <c r="N2" s="58"/>
    </row>
    <row r="3" spans="1:14" x14ac:dyDescent="0.25">
      <c r="M3" s="2"/>
      <c r="N3" s="2"/>
    </row>
    <row r="4" spans="1:14" x14ac:dyDescent="0.25">
      <c r="A4" s="59" t="s">
        <v>1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</row>
    <row r="5" spans="1:14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ht="15" customHeight="1" x14ac:dyDescent="0.25">
      <c r="A6" s="68" t="s">
        <v>2</v>
      </c>
      <c r="B6" s="60" t="s">
        <v>3</v>
      </c>
      <c r="C6" s="61" t="s">
        <v>4</v>
      </c>
      <c r="D6" s="62"/>
      <c r="E6" s="62"/>
      <c r="F6" s="62"/>
      <c r="G6" s="63"/>
      <c r="H6" s="64" t="s">
        <v>5</v>
      </c>
      <c r="I6" s="64"/>
      <c r="J6" s="64"/>
      <c r="K6" s="64"/>
      <c r="L6" s="64"/>
      <c r="M6" s="60" t="s">
        <v>6</v>
      </c>
      <c r="N6" s="60" t="s">
        <v>7</v>
      </c>
    </row>
    <row r="7" spans="1:14" ht="60" x14ac:dyDescent="0.25">
      <c r="A7" s="68"/>
      <c r="B7" s="60"/>
      <c r="C7" s="4" t="s">
        <v>8</v>
      </c>
      <c r="D7" s="4" t="s">
        <v>9</v>
      </c>
      <c r="E7" s="4" t="s">
        <v>10</v>
      </c>
      <c r="F7" s="4" t="s">
        <v>11</v>
      </c>
      <c r="G7" s="4" t="s">
        <v>12</v>
      </c>
      <c r="H7" s="4" t="s">
        <v>8</v>
      </c>
      <c r="I7" s="4" t="s">
        <v>10</v>
      </c>
      <c r="J7" s="4" t="s">
        <v>11</v>
      </c>
      <c r="K7" s="4" t="s">
        <v>12</v>
      </c>
      <c r="L7" s="4" t="s">
        <v>9</v>
      </c>
      <c r="M7" s="60"/>
      <c r="N7" s="60"/>
    </row>
    <row r="8" spans="1:14" ht="45" x14ac:dyDescent="0.25">
      <c r="A8" s="5" t="s">
        <v>13</v>
      </c>
      <c r="B8" s="6" t="s">
        <v>14</v>
      </c>
      <c r="C8" s="6">
        <v>0</v>
      </c>
      <c r="D8" s="21">
        <v>1</v>
      </c>
      <c r="E8" s="21">
        <v>0</v>
      </c>
      <c r="F8" s="21">
        <v>0</v>
      </c>
      <c r="G8" s="21">
        <v>0</v>
      </c>
      <c r="H8" s="22">
        <v>0</v>
      </c>
      <c r="I8" s="22">
        <v>0</v>
      </c>
      <c r="J8" s="22">
        <v>0</v>
      </c>
      <c r="K8" s="22">
        <v>0</v>
      </c>
      <c r="L8" s="22">
        <v>46480.72</v>
      </c>
      <c r="M8" s="7">
        <f>SUM(I8:L8)</f>
        <v>46480.72</v>
      </c>
      <c r="N8" s="72">
        <v>30</v>
      </c>
    </row>
    <row r="9" spans="1:14" ht="30" x14ac:dyDescent="0.25">
      <c r="A9" s="5" t="s">
        <v>15</v>
      </c>
      <c r="B9" s="6" t="s">
        <v>16</v>
      </c>
      <c r="C9" s="6">
        <v>1</v>
      </c>
      <c r="D9" s="21">
        <v>0</v>
      </c>
      <c r="E9" s="21">
        <v>0</v>
      </c>
      <c r="F9" s="21">
        <v>0</v>
      </c>
      <c r="G9" s="21">
        <v>0</v>
      </c>
      <c r="H9" s="22">
        <v>1114.3900000000001</v>
      </c>
      <c r="I9" s="22">
        <v>0</v>
      </c>
      <c r="J9" s="22">
        <v>0</v>
      </c>
      <c r="K9" s="22">
        <v>0</v>
      </c>
      <c r="L9" s="22">
        <v>0</v>
      </c>
      <c r="M9" s="7">
        <f>SUM(H9:L9)</f>
        <v>1114.3900000000001</v>
      </c>
      <c r="N9" s="72"/>
    </row>
    <row r="10" spans="1:14" ht="30" x14ac:dyDescent="0.25">
      <c r="A10" s="5" t="s">
        <v>17</v>
      </c>
      <c r="B10" s="6" t="s">
        <v>18</v>
      </c>
      <c r="C10" s="6">
        <v>0</v>
      </c>
      <c r="D10" s="21">
        <v>38</v>
      </c>
      <c r="E10" s="21">
        <v>0</v>
      </c>
      <c r="F10" s="21">
        <v>0</v>
      </c>
      <c r="G10" s="21">
        <v>0</v>
      </c>
      <c r="H10" s="22">
        <v>0</v>
      </c>
      <c r="I10" s="22">
        <v>0</v>
      </c>
      <c r="J10" s="22">
        <v>0</v>
      </c>
      <c r="K10" s="22">
        <v>0</v>
      </c>
      <c r="L10" s="22">
        <v>756.25</v>
      </c>
      <c r="M10" s="7">
        <f>SUM(I10:L10)</f>
        <v>756.25</v>
      </c>
      <c r="N10" s="72"/>
    </row>
    <row r="11" spans="1:14" ht="30" x14ac:dyDescent="0.25">
      <c r="A11" s="5" t="s">
        <v>41</v>
      </c>
      <c r="B11" s="12" t="s">
        <v>40</v>
      </c>
      <c r="C11" s="26">
        <v>0</v>
      </c>
      <c r="D11" s="21">
        <v>0</v>
      </c>
      <c r="E11" s="21">
        <v>0</v>
      </c>
      <c r="F11" s="21">
        <v>0</v>
      </c>
      <c r="G11" s="21">
        <v>0</v>
      </c>
      <c r="H11" s="22">
        <v>0</v>
      </c>
      <c r="I11" s="22">
        <v>0</v>
      </c>
      <c r="J11" s="22">
        <v>0</v>
      </c>
      <c r="K11" s="22">
        <v>780.78</v>
      </c>
      <c r="L11" s="22">
        <v>0</v>
      </c>
      <c r="M11" s="7">
        <f>SUM(I11:L11)</f>
        <v>780.78</v>
      </c>
      <c r="N11" s="72"/>
    </row>
    <row r="12" spans="1:14" x14ac:dyDescent="0.25">
      <c r="A12" s="5" t="s">
        <v>19</v>
      </c>
      <c r="B12" s="6" t="s">
        <v>20</v>
      </c>
      <c r="C12" s="6">
        <v>150</v>
      </c>
      <c r="D12" s="21">
        <v>0</v>
      </c>
      <c r="E12" s="21">
        <v>0</v>
      </c>
      <c r="F12" s="21">
        <v>0</v>
      </c>
      <c r="G12" s="21">
        <v>0</v>
      </c>
      <c r="H12" s="22">
        <f>57304.72+283.77</f>
        <v>57588.49</v>
      </c>
      <c r="I12" s="22">
        <v>0</v>
      </c>
      <c r="J12" s="22">
        <v>0</v>
      </c>
      <c r="K12" s="22">
        <v>0</v>
      </c>
      <c r="L12" s="22">
        <v>0</v>
      </c>
      <c r="M12" s="7">
        <f>SUM(H12:K12)</f>
        <v>57588.49</v>
      </c>
      <c r="N12" s="72"/>
    </row>
    <row r="13" spans="1:14" x14ac:dyDescent="0.25">
      <c r="A13" s="5" t="s">
        <v>21</v>
      </c>
      <c r="B13" s="6" t="s">
        <v>20</v>
      </c>
      <c r="C13" s="6">
        <v>0</v>
      </c>
      <c r="D13" s="21">
        <v>0</v>
      </c>
      <c r="E13" s="21">
        <v>25</v>
      </c>
      <c r="F13" s="21">
        <v>0</v>
      </c>
      <c r="G13" s="21">
        <f>50+11+4</f>
        <v>65</v>
      </c>
      <c r="H13" s="22">
        <v>0</v>
      </c>
      <c r="I13" s="22">
        <v>12025</v>
      </c>
      <c r="J13" s="22">
        <f>12025-12025</f>
        <v>0</v>
      </c>
      <c r="K13" s="22">
        <f>51941.15+636.92-2342.36</f>
        <v>50235.71</v>
      </c>
      <c r="L13" s="22">
        <v>0</v>
      </c>
      <c r="M13" s="7">
        <f t="shared" ref="M13:M16" si="0">SUM(H13:L13)</f>
        <v>62260.71</v>
      </c>
      <c r="N13" s="72"/>
    </row>
    <row r="14" spans="1:14" ht="30" x14ac:dyDescent="0.25">
      <c r="A14" s="5" t="s">
        <v>22</v>
      </c>
      <c r="B14" s="6" t="s">
        <v>20</v>
      </c>
      <c r="C14" s="6">
        <v>0</v>
      </c>
      <c r="D14" s="21">
        <f>150+9+11+4</f>
        <v>174</v>
      </c>
      <c r="E14" s="21">
        <f>50</f>
        <v>50</v>
      </c>
      <c r="F14" s="21">
        <f>50+9</f>
        <v>59</v>
      </c>
      <c r="G14" s="21">
        <v>0</v>
      </c>
      <c r="H14" s="22">
        <v>13200</v>
      </c>
      <c r="I14" s="22">
        <f>56654.4+2025+11330.9</f>
        <v>70010.3</v>
      </c>
      <c r="J14" s="22">
        <f>56654.4+10197.73+12025</f>
        <v>78877.13</v>
      </c>
      <c r="K14" s="22">
        <v>34119.47</v>
      </c>
      <c r="L14" s="22">
        <f>42490.8+5665.44+288.64+352+1133.09+0.01</f>
        <v>49929.98</v>
      </c>
      <c r="M14" s="7">
        <f t="shared" si="0"/>
        <v>246136.88</v>
      </c>
      <c r="N14" s="72"/>
    </row>
    <row r="15" spans="1:14" x14ac:dyDescent="0.25">
      <c r="A15" s="5" t="s">
        <v>23</v>
      </c>
      <c r="B15" s="6" t="s">
        <v>24</v>
      </c>
      <c r="C15" s="6">
        <v>34</v>
      </c>
      <c r="D15" s="21">
        <v>0</v>
      </c>
      <c r="E15" s="21">
        <v>0</v>
      </c>
      <c r="F15" s="21">
        <v>0</v>
      </c>
      <c r="G15" s="21">
        <v>0</v>
      </c>
      <c r="H15" s="22">
        <v>28435.56</v>
      </c>
      <c r="I15" s="22">
        <v>0</v>
      </c>
      <c r="J15" s="22">
        <v>0</v>
      </c>
      <c r="K15" s="22">
        <v>0</v>
      </c>
      <c r="L15" s="22">
        <v>0</v>
      </c>
      <c r="M15" s="7">
        <f t="shared" si="0"/>
        <v>28435.56</v>
      </c>
      <c r="N15" s="72"/>
    </row>
    <row r="16" spans="1:14" ht="30" x14ac:dyDescent="0.25">
      <c r="A16" s="5" t="s">
        <v>25</v>
      </c>
      <c r="B16" s="6" t="s">
        <v>26</v>
      </c>
      <c r="C16" s="6">
        <v>17</v>
      </c>
      <c r="D16" s="21">
        <v>0</v>
      </c>
      <c r="E16" s="21">
        <v>0</v>
      </c>
      <c r="F16" s="21">
        <v>0</v>
      </c>
      <c r="G16" s="21">
        <v>0</v>
      </c>
      <c r="H16" s="22">
        <v>12601.98</v>
      </c>
      <c r="I16" s="22">
        <v>0</v>
      </c>
      <c r="J16" s="22">
        <v>0</v>
      </c>
      <c r="K16" s="22">
        <v>0</v>
      </c>
      <c r="L16" s="22">
        <v>0</v>
      </c>
      <c r="M16" s="7">
        <f t="shared" si="0"/>
        <v>12601.98</v>
      </c>
      <c r="N16" s="72"/>
    </row>
    <row r="17" spans="1:14" ht="30" x14ac:dyDescent="0.25">
      <c r="A17" s="5" t="s">
        <v>27</v>
      </c>
      <c r="B17" s="6" t="s">
        <v>28</v>
      </c>
      <c r="C17" s="6">
        <v>80</v>
      </c>
      <c r="D17" s="21">
        <v>0</v>
      </c>
      <c r="E17" s="21">
        <v>0</v>
      </c>
      <c r="F17" s="21">
        <v>0</v>
      </c>
      <c r="G17" s="21">
        <v>0</v>
      </c>
      <c r="H17" s="22">
        <v>238930.51</v>
      </c>
      <c r="I17" s="22">
        <v>0</v>
      </c>
      <c r="J17" s="22">
        <v>0</v>
      </c>
      <c r="K17" s="22">
        <v>0</v>
      </c>
      <c r="L17" s="22">
        <v>0</v>
      </c>
      <c r="M17" s="7">
        <f>SUM(H17:L17)</f>
        <v>238930.51</v>
      </c>
      <c r="N17" s="72"/>
    </row>
    <row r="18" spans="1:14" x14ac:dyDescent="0.25">
      <c r="A18" s="65" t="s">
        <v>6</v>
      </c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7"/>
      <c r="M18" s="8">
        <f>+M8+M9+M10+M11+M12+M13+M14+M15+M16+M17</f>
        <v>695086.27</v>
      </c>
      <c r="N18" s="8"/>
    </row>
    <row r="20" spans="1:14" x14ac:dyDescent="0.25">
      <c r="B20" s="9"/>
    </row>
    <row r="21" spans="1:14" x14ac:dyDescent="0.25">
      <c r="H21" s="10"/>
      <c r="M21" s="9"/>
    </row>
    <row r="22" spans="1:14" x14ac:dyDescent="0.25">
      <c r="J22" s="9"/>
    </row>
  </sheetData>
  <mergeCells count="10">
    <mergeCell ref="N8:N17"/>
    <mergeCell ref="A18:L18"/>
    <mergeCell ref="M1:N2"/>
    <mergeCell ref="A4:N4"/>
    <mergeCell ref="A6:A7"/>
    <mergeCell ref="B6:B7"/>
    <mergeCell ref="C6:G6"/>
    <mergeCell ref="H6:L6"/>
    <mergeCell ref="M6:M7"/>
    <mergeCell ref="N6:N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6</vt:i4>
      </vt:variant>
    </vt:vector>
  </HeadingPairs>
  <TitlesOfParts>
    <vt:vector size="6" baseType="lpstr">
      <vt:lpstr>Alytaus</vt:lpstr>
      <vt:lpstr>Akmenės</vt:lpstr>
      <vt:lpstr>Druskininkai</vt:lpstr>
      <vt:lpstr>Pagėgiai</vt:lpstr>
      <vt:lpstr>Panevėžys</vt:lpstr>
      <vt:lpstr>Šilutė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Grucienė</dc:creator>
  <cp:lastModifiedBy>Mantas Navaruckis</cp:lastModifiedBy>
  <dcterms:created xsi:type="dcterms:W3CDTF">2021-02-12T09:33:08Z</dcterms:created>
  <dcterms:modified xsi:type="dcterms:W3CDTF">2021-12-21T08:18:37Z</dcterms:modified>
</cp:coreProperties>
</file>